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D:\Nilesh\OneDrive - O2 Power Private Limited\D Drive\O2 DGR\"/>
    </mc:Choice>
  </mc:AlternateContent>
  <xr:revisionPtr revIDLastSave="0" documentId="13_ncr:1_{1A524E6B-7F99-4DCC-8565-D6488EB5CAF0}" xr6:coauthVersionLast="47" xr6:coauthVersionMax="47" xr10:uidLastSave="{00000000-0000-0000-0000-000000000000}"/>
  <bookViews>
    <workbookView xWindow="-120" yWindow="-120" windowWidth="20730" windowHeight="11040" tabRatio="826" xr2:uid="{00000000-000D-0000-FFFF-FFFF00000000}"/>
  </bookViews>
  <sheets>
    <sheet name="O2Summary" sheetId="11" r:id="rId1"/>
    <sheet name="AnnualKPI" sheetId="10" r:id="rId2"/>
    <sheet name="MonthlyKPI" sheetId="9" r:id="rId3"/>
    <sheet name="Analytices" sheetId="12" r:id="rId4"/>
    <sheet name="Daily KPI" sheetId="17" r:id="rId5"/>
    <sheet name="Input_Raw" sheetId="1"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s>
  <externalReferences>
    <externalReference r:id="rId15"/>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3">#REF!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3">#REF!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57" i="23" l="1"/>
  <c r="A957" i="23"/>
  <c r="B957" i="23"/>
  <c r="C957" i="23"/>
  <c r="E957" i="23"/>
  <c r="J957" i="23"/>
  <c r="L957" i="23"/>
  <c r="R957" i="23"/>
  <c r="S957" i="23"/>
  <c r="T957" i="23"/>
  <c r="W957" i="23" s="1"/>
  <c r="CR109" i="1"/>
  <c r="CR110" i="1"/>
  <c r="I956" i="23"/>
  <c r="H956" i="23"/>
  <c r="B956" i="23"/>
  <c r="C956" i="23"/>
  <c r="E956" i="23"/>
  <c r="J956" i="23"/>
  <c r="L956" i="23"/>
  <c r="R956" i="23"/>
  <c r="S956" i="23"/>
  <c r="T956" i="23"/>
  <c r="W956" i="23" s="1"/>
  <c r="I955" i="23"/>
  <c r="H955" i="23"/>
  <c r="T954" i="23"/>
  <c r="AA954" i="23" s="1"/>
  <c r="S954" i="23"/>
  <c r="R954" i="23"/>
  <c r="L954" i="23"/>
  <c r="J954" i="23"/>
  <c r="I954" i="23"/>
  <c r="H954" i="23"/>
  <c r="T953" i="23"/>
  <c r="AA953" i="23" s="1"/>
  <c r="S953" i="23"/>
  <c r="R953" i="23"/>
  <c r="L953" i="23"/>
  <c r="J953" i="23"/>
  <c r="I953" i="23"/>
  <c r="H953" i="23"/>
  <c r="T952" i="23"/>
  <c r="AA952" i="23" s="1"/>
  <c r="S952" i="23"/>
  <c r="R952" i="23"/>
  <c r="L952" i="23"/>
  <c r="J952" i="23"/>
  <c r="I952" i="23"/>
  <c r="H952" i="23"/>
  <c r="B953" i="23"/>
  <c r="B954" i="23"/>
  <c r="B955" i="23"/>
  <c r="C953" i="23"/>
  <c r="C954" i="23"/>
  <c r="C955" i="23"/>
  <c r="E953" i="23"/>
  <c r="E954" i="23"/>
  <c r="E955" i="23"/>
  <c r="J955" i="23"/>
  <c r="L955" i="23"/>
  <c r="R955" i="23"/>
  <c r="S955" i="23"/>
  <c r="T955" i="23"/>
  <c r="W955" i="23" s="1"/>
  <c r="B952" i="23"/>
  <c r="C952" i="23"/>
  <c r="E952" i="23"/>
  <c r="H947" i="23"/>
  <c r="I947" i="23"/>
  <c r="H948" i="23"/>
  <c r="I948" i="23"/>
  <c r="H949" i="23"/>
  <c r="I949" i="23"/>
  <c r="H950" i="23"/>
  <c r="I950" i="23"/>
  <c r="H951" i="23"/>
  <c r="I951" i="23"/>
  <c r="I942" i="23"/>
  <c r="I943" i="23"/>
  <c r="I944" i="23"/>
  <c r="I945" i="23"/>
  <c r="I946" i="23"/>
  <c r="H943" i="23"/>
  <c r="H944" i="23"/>
  <c r="H945" i="23"/>
  <c r="H946" i="23"/>
  <c r="B951" i="23"/>
  <c r="C951" i="23"/>
  <c r="E951" i="23"/>
  <c r="J951" i="23"/>
  <c r="L951" i="23"/>
  <c r="R951" i="23"/>
  <c r="S951" i="23"/>
  <c r="T951" i="23"/>
  <c r="AA951" i="23" s="1"/>
  <c r="B950" i="23"/>
  <c r="C950" i="23"/>
  <c r="E950" i="23"/>
  <c r="J950" i="23"/>
  <c r="L950" i="23"/>
  <c r="R950" i="23"/>
  <c r="S950" i="23"/>
  <c r="T950" i="23"/>
  <c r="B949" i="23"/>
  <c r="C949" i="23"/>
  <c r="E949" i="23"/>
  <c r="J949" i="23"/>
  <c r="L949" i="23"/>
  <c r="R949" i="23"/>
  <c r="S949" i="23"/>
  <c r="T949" i="23"/>
  <c r="B948" i="23"/>
  <c r="C948" i="23"/>
  <c r="E948" i="23"/>
  <c r="J948" i="23"/>
  <c r="L948" i="23"/>
  <c r="R948" i="23"/>
  <c r="S948" i="23"/>
  <c r="T948" i="23"/>
  <c r="AA948" i="23" s="1"/>
  <c r="W948" i="23"/>
  <c r="B947" i="23"/>
  <c r="C947" i="23"/>
  <c r="E947" i="23"/>
  <c r="J947" i="23"/>
  <c r="L947" i="23"/>
  <c r="R947" i="23"/>
  <c r="S947" i="23"/>
  <c r="T947" i="23"/>
  <c r="AA947" i="23" s="1"/>
  <c r="A55" i="24"/>
  <c r="B55" i="24"/>
  <c r="C55" i="24"/>
  <c r="E55" i="24"/>
  <c r="J55" i="24"/>
  <c r="O55" i="24"/>
  <c r="P55" i="24"/>
  <c r="Q55" i="24"/>
  <c r="H942" i="23"/>
  <c r="H941" i="23"/>
  <c r="I941" i="23"/>
  <c r="B946" i="23"/>
  <c r="C946" i="23"/>
  <c r="E946" i="23"/>
  <c r="J946" i="23"/>
  <c r="L946" i="23"/>
  <c r="R946" i="23"/>
  <c r="S946" i="23"/>
  <c r="T946" i="23"/>
  <c r="B945" i="23"/>
  <c r="C945" i="23"/>
  <c r="E945" i="23"/>
  <c r="J945" i="23"/>
  <c r="L945" i="23"/>
  <c r="R945" i="23"/>
  <c r="S945" i="23"/>
  <c r="T945" i="23"/>
  <c r="AA945" i="23" s="1"/>
  <c r="B944" i="23"/>
  <c r="C944" i="23"/>
  <c r="E944" i="23"/>
  <c r="J944" i="23"/>
  <c r="L944" i="23"/>
  <c r="R944" i="23"/>
  <c r="S944" i="23"/>
  <c r="T944" i="23"/>
  <c r="AA944" i="23" s="1"/>
  <c r="B943" i="23"/>
  <c r="C943" i="23"/>
  <c r="E943" i="23"/>
  <c r="J943" i="23"/>
  <c r="L943" i="23"/>
  <c r="R943" i="23"/>
  <c r="S943" i="23"/>
  <c r="T943" i="23"/>
  <c r="AA943" i="23" s="1"/>
  <c r="B942" i="23"/>
  <c r="C942" i="23"/>
  <c r="E942" i="23"/>
  <c r="J942" i="23"/>
  <c r="L942" i="23"/>
  <c r="R942" i="23"/>
  <c r="S942" i="23"/>
  <c r="T942" i="23"/>
  <c r="B941" i="23"/>
  <c r="C941" i="23"/>
  <c r="E941" i="23"/>
  <c r="J941" i="23"/>
  <c r="L941" i="23"/>
  <c r="R941" i="23"/>
  <c r="S941" i="23"/>
  <c r="T941" i="23"/>
  <c r="B54" i="24"/>
  <c r="C54" i="24"/>
  <c r="E54" i="24"/>
  <c r="J54" i="24"/>
  <c r="O54" i="24"/>
  <c r="P54" i="24"/>
  <c r="Q54" i="24"/>
  <c r="I940" i="23"/>
  <c r="H940" i="23"/>
  <c r="I939" i="23"/>
  <c r="H939" i="23"/>
  <c r="I938" i="23"/>
  <c r="H938" i="23"/>
  <c r="I937" i="23"/>
  <c r="H937" i="23"/>
  <c r="B940" i="23"/>
  <c r="C940" i="23"/>
  <c r="E940" i="23"/>
  <c r="J940" i="23"/>
  <c r="L940" i="23"/>
  <c r="R940" i="23"/>
  <c r="S940" i="23"/>
  <c r="T940" i="23"/>
  <c r="B939" i="23"/>
  <c r="C939" i="23"/>
  <c r="E939" i="23"/>
  <c r="J939" i="23"/>
  <c r="L939" i="23"/>
  <c r="R939" i="23"/>
  <c r="S939" i="23"/>
  <c r="T939" i="23"/>
  <c r="AA939" i="23" s="1"/>
  <c r="B938" i="23"/>
  <c r="C938" i="23"/>
  <c r="E938" i="23"/>
  <c r="J938" i="23"/>
  <c r="L938" i="23"/>
  <c r="R938" i="23"/>
  <c r="S938" i="23"/>
  <c r="T938" i="23"/>
  <c r="AA938" i="23" s="1"/>
  <c r="B937" i="23"/>
  <c r="C937" i="23"/>
  <c r="E937" i="23"/>
  <c r="J937" i="23"/>
  <c r="L937" i="23"/>
  <c r="R937" i="23"/>
  <c r="S937" i="23"/>
  <c r="T937"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I936" i="23"/>
  <c r="H936" i="23"/>
  <c r="B936" i="23"/>
  <c r="C936" i="23"/>
  <c r="E936" i="23"/>
  <c r="J936" i="23"/>
  <c r="L936" i="23"/>
  <c r="R936" i="23"/>
  <c r="S936" i="23"/>
  <c r="T936" i="23"/>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B933" i="23"/>
  <c r="C933" i="23"/>
  <c r="E933" i="23"/>
  <c r="J933" i="23"/>
  <c r="L933" i="23"/>
  <c r="R933" i="23"/>
  <c r="S933" i="23"/>
  <c r="T933" i="23"/>
  <c r="AA933" i="23" s="1"/>
  <c r="B932" i="23"/>
  <c r="C932" i="23"/>
  <c r="E932" i="23"/>
  <c r="J932" i="23"/>
  <c r="L932" i="23"/>
  <c r="R932" i="23"/>
  <c r="S932" i="23"/>
  <c r="T932" i="23"/>
  <c r="AA932" i="23" s="1"/>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AA928" i="23" s="1"/>
  <c r="S928" i="23"/>
  <c r="R928" i="23"/>
  <c r="L928" i="23"/>
  <c r="J928" i="23"/>
  <c r="I928" i="23"/>
  <c r="H928" i="23"/>
  <c r="T927" i="23"/>
  <c r="AA927" i="23" s="1"/>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B927" i="23"/>
  <c r="C927" i="23"/>
  <c r="E927" i="23"/>
  <c r="CR102" i="1"/>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S913" i="23"/>
  <c r="R913" i="23"/>
  <c r="L913" i="23"/>
  <c r="J913" i="23"/>
  <c r="I913" i="23"/>
  <c r="H913" i="23"/>
  <c r="T912" i="23"/>
  <c r="S912" i="23"/>
  <c r="R912" i="23"/>
  <c r="L912" i="23"/>
  <c r="J912" i="23"/>
  <c r="I912" i="23"/>
  <c r="H912" i="23"/>
  <c r="T911" i="23"/>
  <c r="S911" i="23"/>
  <c r="R911" i="23"/>
  <c r="L911" i="23"/>
  <c r="J911" i="23"/>
  <c r="I911" i="23"/>
  <c r="H911" i="23"/>
  <c r="B912" i="23"/>
  <c r="B913" i="23"/>
  <c r="B914" i="23"/>
  <c r="C912" i="23"/>
  <c r="C913" i="23"/>
  <c r="C914" i="23"/>
  <c r="E912" i="23"/>
  <c r="E913" i="23"/>
  <c r="E914" i="23"/>
  <c r="J914" i="23"/>
  <c r="L914" i="23"/>
  <c r="R914" i="23"/>
  <c r="S914" i="23"/>
  <c r="T914" i="23"/>
  <c r="B911" i="23"/>
  <c r="C911" i="23"/>
  <c r="E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AA900" i="23" s="1"/>
  <c r="T901" i="23"/>
  <c r="T902" i="23"/>
  <c r="AA902" i="23" s="1"/>
  <c r="T903" i="23"/>
  <c r="AA903" i="23" s="1"/>
  <c r="T904" i="23"/>
  <c r="AA904" i="23" s="1"/>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W904" i="23"/>
  <c r="B900" i="23"/>
  <c r="C900" i="23"/>
  <c r="E900" i="23"/>
  <c r="J900" i="23"/>
  <c r="L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T894" i="23"/>
  <c r="T895" i="23"/>
  <c r="T896" i="23"/>
  <c r="T897" i="23"/>
  <c r="AA897" i="23" s="1"/>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T867"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W934" i="23" l="1"/>
  <c r="W954" i="23"/>
  <c r="W903" i="23"/>
  <c r="W929" i="23"/>
  <c r="W928" i="23"/>
  <c r="W947" i="23"/>
  <c r="W953" i="23"/>
  <c r="W902" i="23"/>
  <c r="W932" i="23"/>
  <c r="W930" i="23"/>
  <c r="W938" i="23"/>
  <c r="W944" i="23"/>
  <c r="W927" i="23"/>
  <c r="W945" i="23"/>
  <c r="W900" i="23"/>
  <c r="W921" i="23"/>
  <c r="W952" i="23"/>
  <c r="AA956" i="23"/>
  <c r="W933" i="23"/>
  <c r="AA955" i="23"/>
  <c r="W939" i="23"/>
  <c r="W943" i="23"/>
  <c r="W951" i="23"/>
  <c r="AA937" i="23"/>
  <c r="W937" i="23"/>
  <c r="W950" i="23"/>
  <c r="AA950" i="23"/>
  <c r="W949" i="23"/>
  <c r="AA949" i="23"/>
  <c r="W946" i="23"/>
  <c r="AA946" i="23"/>
  <c r="W942" i="23"/>
  <c r="AA942" i="23"/>
  <c r="T55" i="24"/>
  <c r="AA925" i="23"/>
  <c r="W925" i="23"/>
  <c r="AA893" i="23"/>
  <c r="W893" i="23"/>
  <c r="AA894" i="23"/>
  <c r="W894" i="23"/>
  <c r="AA896" i="23"/>
  <c r="W896" i="23"/>
  <c r="W941" i="23"/>
  <c r="AA941" i="23"/>
  <c r="W940" i="23"/>
  <c r="AA940" i="23"/>
  <c r="AA913" i="23"/>
  <c r="W913" i="23"/>
  <c r="AA912" i="23"/>
  <c r="W912" i="23"/>
  <c r="AA911" i="23"/>
  <c r="W911" i="23"/>
  <c r="T54" i="24"/>
  <c r="AA866" i="23"/>
  <c r="W866" i="23"/>
  <c r="W936" i="23"/>
  <c r="AA936" i="23"/>
  <c r="W935" i="23"/>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W684" i="23" s="1"/>
  <c r="T685" i="23"/>
  <c r="W685" i="23" s="1"/>
  <c r="T686" i="23"/>
  <c r="W686" i="23" s="1"/>
  <c r="T687" i="23"/>
  <c r="W687" i="23" s="1"/>
  <c r="T688" i="23"/>
  <c r="W688" i="23" s="1"/>
  <c r="T689" i="23"/>
  <c r="W689" i="23" s="1"/>
  <c r="T690" i="23"/>
  <c r="W690" i="23" s="1"/>
  <c r="T691" i="23"/>
  <c r="W691" i="23" s="1"/>
  <c r="T692" i="23"/>
  <c r="W692" i="23" s="1"/>
  <c r="T693" i="23"/>
  <c r="W693" i="23" s="1"/>
  <c r="T694" i="23"/>
  <c r="W694" i="23" s="1"/>
  <c r="T695" i="23"/>
  <c r="W695" i="23" s="1"/>
  <c r="T696" i="23"/>
  <c r="W696" i="23" s="1"/>
  <c r="T697" i="23"/>
  <c r="W697" i="23" s="1"/>
  <c r="T698" i="23"/>
  <c r="W698" i="23" s="1"/>
  <c r="T699" i="23"/>
  <c r="W699" i="23" s="1"/>
  <c r="T700" i="23"/>
  <c r="W700" i="23" s="1"/>
  <c r="T701" i="23"/>
  <c r="W701" i="23" s="1"/>
  <c r="T702" i="23"/>
  <c r="W702" i="23" s="1"/>
  <c r="T703" i="23"/>
  <c r="W703" i="23" s="1"/>
  <c r="T704" i="23"/>
  <c r="W704" i="23" s="1"/>
  <c r="T705" i="23"/>
  <c r="W705" i="23" s="1"/>
  <c r="T706" i="23"/>
  <c r="W706" i="23" s="1"/>
  <c r="T707" i="23"/>
  <c r="W707" i="23" s="1"/>
  <c r="T708" i="23"/>
  <c r="W708" i="23" s="1"/>
  <c r="T709" i="23"/>
  <c r="W709" i="23" s="1"/>
  <c r="T710" i="23"/>
  <c r="W710" i="23" s="1"/>
  <c r="T711" i="23"/>
  <c r="W711" i="23" s="1"/>
  <c r="T712" i="23"/>
  <c r="W712" i="23" s="1"/>
  <c r="T713" i="23"/>
  <c r="W713" i="23" s="1"/>
  <c r="T714" i="23"/>
  <c r="W714" i="23" s="1"/>
  <c r="T715" i="23"/>
  <c r="W715" i="23" s="1"/>
  <c r="T716" i="23"/>
  <c r="W716" i="23" s="1"/>
  <c r="T717" i="23"/>
  <c r="W717" i="23" s="1"/>
  <c r="T718" i="23"/>
  <c r="W718" i="23" s="1"/>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W732" i="23" s="1"/>
  <c r="T733" i="23"/>
  <c r="W733" i="23" s="1"/>
  <c r="T734" i="23"/>
  <c r="W734" i="23" s="1"/>
  <c r="T735" i="23"/>
  <c r="W735" i="23" s="1"/>
  <c r="T736" i="23"/>
  <c r="W736" i="23" s="1"/>
  <c r="T737" i="23"/>
  <c r="W737" i="23" s="1"/>
  <c r="T738" i="23"/>
  <c r="W738" i="23" s="1"/>
  <c r="T739" i="23"/>
  <c r="W739" i="23" s="1"/>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W755" i="23" s="1"/>
  <c r="T756" i="23"/>
  <c r="W756" i="23" s="1"/>
  <c r="T757" i="23"/>
  <c r="W757" i="23" s="1"/>
  <c r="T758" i="23"/>
  <c r="W758" i="23" s="1"/>
  <c r="T759" i="23"/>
  <c r="W759" i="23" s="1"/>
  <c r="T760" i="23"/>
  <c r="W760" i="23" s="1"/>
  <c r="T761" i="23"/>
  <c r="W761" i="23" s="1"/>
  <c r="T762" i="23"/>
  <c r="W762" i="23" s="1"/>
  <c r="T763" i="23"/>
  <c r="W763" i="23" s="1"/>
  <c r="T764" i="23"/>
  <c r="W764" i="23" s="1"/>
  <c r="T765" i="23"/>
  <c r="W765" i="23" s="1"/>
  <c r="T766" i="23"/>
  <c r="W766" i="23" s="1"/>
  <c r="T767" i="23"/>
  <c r="W767" i="23" s="1"/>
  <c r="T768" i="23"/>
  <c r="W768" i="23" s="1"/>
  <c r="T769" i="23"/>
  <c r="W769" i="23" s="1"/>
  <c r="T770" i="23"/>
  <c r="W770" i="23" s="1"/>
  <c r="T771" i="23"/>
  <c r="W771" i="23" s="1"/>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W789" i="23" s="1"/>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AA816" i="23" s="1"/>
  <c r="T817" i="23"/>
  <c r="W817" i="23" s="1"/>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AA778" i="23" l="1"/>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DA84" i="1" s="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DA72" i="1" s="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CZ72" i="1" l="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DE105" i="1" s="1"/>
  <c r="CF106" i="1"/>
  <c r="DE106" i="1" s="1"/>
  <c r="CF107" i="1"/>
  <c r="DE107" i="1" s="1"/>
  <c r="CF108" i="1"/>
  <c r="DE108" i="1" s="1"/>
  <c r="CF109" i="1"/>
  <c r="CF110" i="1"/>
  <c r="CF111" i="1"/>
  <c r="DB111" i="1" s="1"/>
  <c r="CF112" i="1"/>
  <c r="DB112" i="1" s="1"/>
  <c r="CF113" i="1"/>
  <c r="CF114" i="1"/>
  <c r="CF115" i="1"/>
  <c r="CF116" i="1"/>
  <c r="CF117" i="1"/>
  <c r="CF118" i="1"/>
  <c r="CF119" i="1"/>
  <c r="CF120" i="1"/>
  <c r="CF121" i="1"/>
  <c r="CF122" i="1"/>
  <c r="CF123" i="1"/>
  <c r="CF124" i="1"/>
  <c r="CF125" i="1"/>
  <c r="CF126" i="1"/>
  <c r="CF127" i="1"/>
  <c r="CF128" i="1"/>
  <c r="CF129" i="1"/>
  <c r="CF130" i="1"/>
  <c r="CF131" i="1"/>
  <c r="CF132" i="1"/>
  <c r="CF133" i="1"/>
  <c r="DB133" i="1" s="1"/>
  <c r="CF134" i="1"/>
  <c r="DB134" i="1" s="1"/>
  <c r="CF135" i="1"/>
  <c r="DB135" i="1" s="1"/>
  <c r="CF136" i="1"/>
  <c r="DB136" i="1" s="1"/>
  <c r="CF137" i="1"/>
  <c r="DB137" i="1" s="1"/>
  <c r="CF138" i="1"/>
  <c r="DB138" i="1" s="1"/>
  <c r="CF139" i="1"/>
  <c r="DB139" i="1" s="1"/>
  <c r="CF140" i="1"/>
  <c r="DB140" i="1" s="1"/>
  <c r="CF141" i="1"/>
  <c r="DB141" i="1" s="1"/>
  <c r="CF142" i="1"/>
  <c r="DB142" i="1" s="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Z109" i="1"/>
  <c r="CZ110" i="1"/>
  <c r="CR111" i="1"/>
  <c r="CZ111" i="1" s="1"/>
  <c r="CR112" i="1"/>
  <c r="CZ112" i="1" s="1"/>
  <c r="CR113" i="1"/>
  <c r="CZ113" i="1" s="1"/>
  <c r="CR114" i="1"/>
  <c r="CZ114" i="1" s="1"/>
  <c r="CR115" i="1"/>
  <c r="CZ115" i="1" s="1"/>
  <c r="CR116" i="1"/>
  <c r="CZ116" i="1" s="1"/>
  <c r="CR117" i="1"/>
  <c r="CZ117" i="1" s="1"/>
  <c r="CR118" i="1"/>
  <c r="CZ118" i="1" s="1"/>
  <c r="CR119" i="1"/>
  <c r="CZ119" i="1" s="1"/>
  <c r="CR120" i="1"/>
  <c r="CZ120" i="1" s="1"/>
  <c r="CR121" i="1"/>
  <c r="CZ121" i="1" s="1"/>
  <c r="CR122" i="1"/>
  <c r="CZ122" i="1" s="1"/>
  <c r="CR123" i="1"/>
  <c r="CZ123" i="1" s="1"/>
  <c r="CR124" i="1"/>
  <c r="CZ124" i="1" s="1"/>
  <c r="CR125" i="1"/>
  <c r="CZ125" i="1" s="1"/>
  <c r="CR126" i="1"/>
  <c r="CZ126" i="1" s="1"/>
  <c r="CR127" i="1"/>
  <c r="CZ127" i="1" s="1"/>
  <c r="CR128" i="1"/>
  <c r="CZ128" i="1" s="1"/>
  <c r="CR129" i="1"/>
  <c r="CZ129" i="1" s="1"/>
  <c r="CR130" i="1"/>
  <c r="CZ130" i="1" s="1"/>
  <c r="CR131" i="1"/>
  <c r="CZ131" i="1" s="1"/>
  <c r="CR132" i="1"/>
  <c r="CZ132" i="1" s="1"/>
  <c r="CR133" i="1"/>
  <c r="CZ133" i="1" s="1"/>
  <c r="CR134" i="1"/>
  <c r="CZ134" i="1" s="1"/>
  <c r="CR135" i="1"/>
  <c r="CZ135" i="1" s="1"/>
  <c r="CR136" i="1"/>
  <c r="CZ136" i="1" s="1"/>
  <c r="CR137" i="1"/>
  <c r="CZ137" i="1" s="1"/>
  <c r="CR138" i="1"/>
  <c r="CZ138" i="1" s="1"/>
  <c r="CR139" i="1"/>
  <c r="CZ139" i="1" s="1"/>
  <c r="CR140" i="1"/>
  <c r="CZ140" i="1" s="1"/>
  <c r="CR141" i="1"/>
  <c r="CZ141" i="1" s="1"/>
  <c r="CR142" i="1"/>
  <c r="CZ142" i="1" s="1"/>
  <c r="CR143" i="1"/>
  <c r="CZ143" i="1" s="1"/>
  <c r="CR144" i="1"/>
  <c r="CZ144" i="1" s="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10" i="1" l="1"/>
  <c r="DB109" i="1"/>
  <c r="DB108" i="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B2" i="12" s="1"/>
  <c r="O4" i="10"/>
  <c r="B1" i="10"/>
  <c r="A4" i="9"/>
  <c r="B1" i="9"/>
  <c r="C18" i="12" l="1"/>
  <c r="O18" i="12"/>
  <c r="AA18" i="12"/>
  <c r="AM18" i="12"/>
  <c r="O17" i="12"/>
  <c r="AG17" i="12"/>
  <c r="AH18" i="12"/>
  <c r="D18" i="12"/>
  <c r="P18" i="12"/>
  <c r="AB18" i="12"/>
  <c r="AN18" i="12"/>
  <c r="P17" i="12"/>
  <c r="AH17" i="12"/>
  <c r="I17" i="12"/>
  <c r="AI18" i="12"/>
  <c r="X18" i="12"/>
  <c r="B14" i="12"/>
  <c r="AK18" i="12"/>
  <c r="AL18" i="12"/>
  <c r="E18" i="12"/>
  <c r="Q18" i="12"/>
  <c r="AC18" i="12"/>
  <c r="B18" i="12"/>
  <c r="Q17" i="12"/>
  <c r="AI17" i="12"/>
  <c r="S18" i="12"/>
  <c r="F17" i="12"/>
  <c r="AK17" i="12"/>
  <c r="I18" i="12"/>
  <c r="H17" i="12"/>
  <c r="AM17" i="12"/>
  <c r="J18" i="12"/>
  <c r="AN17" i="12"/>
  <c r="W18" i="12"/>
  <c r="Y17" i="12"/>
  <c r="L18" i="12"/>
  <c r="K17" i="12"/>
  <c r="Y18" i="12"/>
  <c r="AA17" i="12"/>
  <c r="Z18" i="12"/>
  <c r="AD17" i="12"/>
  <c r="F18" i="12"/>
  <c r="R18" i="12"/>
  <c r="AD18" i="12"/>
  <c r="C17" i="12"/>
  <c r="S17" i="12"/>
  <c r="AJ17" i="12"/>
  <c r="G18" i="12"/>
  <c r="AE18" i="12"/>
  <c r="T17" i="12"/>
  <c r="U18" i="12"/>
  <c r="AG18" i="12"/>
  <c r="W17" i="12"/>
  <c r="V18" i="12"/>
  <c r="X17" i="12"/>
  <c r="K18" i="12"/>
  <c r="B17" i="12"/>
  <c r="AJ18" i="12"/>
  <c r="Z17" i="12"/>
  <c r="M18" i="12"/>
  <c r="L17" i="12"/>
  <c r="N18" i="12"/>
  <c r="N17" i="12"/>
  <c r="H18" i="12"/>
  <c r="T18" i="12"/>
  <c r="AF18" i="12"/>
  <c r="G17" i="12"/>
  <c r="V17" i="12"/>
  <c r="AL17" i="12"/>
  <c r="J17"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R17" i="12"/>
  <c r="AE17" i="12"/>
  <c r="U6" i="12"/>
  <c r="AE6" i="12"/>
  <c r="AB6" i="12"/>
  <c r="R6" i="12"/>
  <c r="U17" i="12"/>
  <c r="AB17" i="12"/>
  <c r="D6" i="12"/>
  <c r="M17" i="12"/>
  <c r="E6" i="12"/>
  <c r="E17" i="12"/>
  <c r="D17" i="12"/>
  <c r="M6" i="12"/>
  <c r="AC6" i="12"/>
  <c r="AF17" i="12"/>
  <c r="AC17"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<sst xmlns="http://schemas.openxmlformats.org/spreadsheetml/2006/main" count="10835" uniqueCount="1350">
  <si>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</si>
  <si>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</si>
  <si>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</si>
  <si>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</si>
  <si>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</si>
  <si>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</si>
  <si>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</si>
  <si>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</si>
  <si>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</si>
  <si>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</si>
  <si>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</si>
  <si>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</si>
  <si>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</si>
  <si>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</si>
  <si>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</si>
  <si>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</si>
  <si>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</si>
  <si>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</si>
  <si>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</si>
  <si>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</si>
  <si>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</si>
  <si>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</si>
  <si>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</si>
  <si>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</si>
  <si>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</si>
  <si>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</si>
  <si>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</si>
  <si>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</si>
  <si>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</si>
  <si>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</si>
  <si>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</si>
  <si>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</si>
  <si>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</si>
  <si>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</si>
  <si>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</si>
  <si>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</si>
  <si>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</si>
  <si>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</si>
  <si>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</si>
  <si>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</si>
  <si>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</si>
  <si>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</si>
  <si>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</si>
  <si>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</si>
  <si>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</si>
  <si>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</si>
  <si>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</si>
  <si>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</si>
  <si>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</si>
  <si>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</si>
  <si>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</si>
  <si>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</si>
  <si>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</si>
  <si>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</si>
  <si>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</si>
  <si>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</si>
  <si>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</si>
  <si>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</si>
  <si>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</si>
  <si>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</si>
  <si>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</si>
  <si>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</si>
  <si>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</si>
  <si>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</si>
  <si>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</si>
  <si>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</si>
  <si>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</si>
  <si>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</si>
  <si>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</si>
  <si>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</si>
  <si>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</si>
  <si>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</si>
  <si>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</si>
  <si>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</si>
  <si>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</si>
  <si>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</si>
  <si>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</si>
  <si>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</si>
  <si>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</si>
  <si>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</si>
  <si>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</si>
  <si>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</si>
  <si>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</si>
  <si>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</si>
  <si>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</si>
  <si>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</si>
  <si>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</si>
  <si>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</si>
  <si>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</si>
  <si>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</si>
  <si>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</si>
  <si>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</si>
  <si>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</si>
  <si>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</si>
  <si>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</si>
  <si>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</si>
  <si>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</si>
  <si>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</si>
  <si>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</si>
  <si>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</si>
  <si>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</si>
  <si>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</si>
  <si>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</si>
  <si>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</si>
  <si>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</si>
  <si>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</si>
  <si>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</si>
  <si>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</si>
  <si>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</si>
  <si>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</si>
  <si>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</si>
  <si>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</si>
  <si>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</si>
  <si>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</si>
  <si>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</si>
  <si>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</si>
  <si>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</si>
  <si>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</si>
  <si>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</si>
  <si>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</si>
  <si>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</si>
  <si>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</si>
  <si>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</si>
  <si>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</si>
  <si>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</si>
  <si>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</si>
  <si>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</si>
  <si>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</si>
  <si>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</si>
  <si>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</si>
  <si>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</si>
  <si>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</si>
  <si>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</si>
  <si>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</si>
  <si>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</si>
  <si>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</si>
  <si>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</si>
  <si>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</si>
  <si>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</si>
  <si>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</si>
  <si>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</si>
  <si>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</si>
  <si>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</si>
  <si>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</si>
  <si>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</si>
  <si>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</si>
  <si>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</si>
  <si>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</si>
  <si>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</si>
  <si>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</si>
  <si>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</si>
  <si>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</si>
  <si>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</si>
  <si>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</si>
  <si>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</si>
  <si>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</si>
  <si>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</si>
  <si>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</si>
  <si>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</si>
  <si>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</si>
  <si>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</si>
  <si>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</si>
  <si>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</si>
  <si>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</si>
  <si>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</si>
  <si>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</si>
  <si>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</si>
  <si>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</si>
  <si>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</si>
  <si>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</si>
  <si>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</si>
  <si>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</si>
  <si>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</si>
  <si>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</si>
  <si>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</si>
  <si>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</si>
  <si>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</si>
  <si>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</si>
  <si>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</si>
  <si>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</si>
  <si>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</si>
  <si>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</si>
  <si>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</si>
  <si>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</si>
  <si>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</si>
  <si>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</si>
  <si>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</si>
  <si>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</si>
  <si>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</si>
  <si>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</si>
  <si>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</si>
  <si>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</si>
  <si>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</si>
  <si>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</si>
  <si>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</si>
  <si>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</si>
  <si>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</si>
  <si>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</si>
  <si>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</si>
  <si>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</si>
  <si>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</si>
  <si>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</si>
  <si>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</si>
  <si>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</si>
  <si>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</si>
  <si>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</si>
  <si>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</si>
  <si>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</si>
  <si>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</si>
  <si>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</si>
  <si>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</si>
  <si>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</si>
  <si>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</si>
  <si>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</si>
  <si>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</si>
  <si>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</si>
  <si>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</si>
  <si>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</si>
  <si>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</si>
  <si>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</si>
  <si>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</si>
  <si>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</si>
  <si>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</si>
  <si>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</si>
  <si>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</si>
  <si>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</si>
  <si>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</si>
  <si>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</si>
  <si>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</si>
  <si>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</si>
  <si>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</si>
  <si>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</si>
  <si>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</si>
  <si>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</si>
  <si>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</si>
  <si>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</si>
  <si>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</si>
  <si>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</si>
  <si>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</si>
  <si>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</si>
  <si>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</si>
  <si>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</si>
  <si>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</si>
  <si>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</si>
  <si>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</si>
  <si>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</si>
  <si>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</si>
  <si>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</si>
  <si>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</si>
  <si>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</si>
  <si>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</si>
  <si>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</si>
  <si>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</si>
  <si>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</si>
  <si>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</si>
  <si>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</si>
  <si>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</si>
  <si>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</si>
  <si>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</si>
  <si>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</si>
  <si>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</si>
  <si>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</si>
  <si>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</si>
  <si>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</si>
  <si>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</si>
  <si>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</si>
  <si>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</si>
  <si>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</si>
  <si>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</si>
  <si>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</si>
  <si>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</si>
  <si>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</si>
  <si>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</si>
  <si>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</si>
  <si>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</si>
  <si>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</si>
  <si>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</si>
  <si>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</si>
  <si>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</si>
  <si>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</si>
  <si>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</si>
  <si>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</si>
  <si>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</si>
  <si>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</si>
  <si>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</si>
  <si>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</si>
  <si>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</si>
  <si>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</si>
  <si>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</si>
  <si>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</si>
  <si>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</si>
  <si>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</si>
  <si>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</si>
  <si>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</si>
  <si>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</si>
  <si>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</si>
  <si>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</si>
  <si>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</si>
  <si>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</si>
  <si>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</si>
  <si>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</si>
  <si>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</si>
  <si>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</si>
  <si>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</si>
  <si>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</si>
  <si>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</si>
  <si>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</si>
  <si>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</si>
  <si>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</si>
  <si>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</si>
  <si>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</si>
  <si>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</si>
  <si>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</si>
  <si>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</si>
  <si>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</si>
  <si>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</si>
  <si>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</si>
  <si>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</si>
  <si>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</si>
  <si>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</si>
  <si>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</si>
  <si>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</si>
  <si>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</si>
  <si>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</si>
  <si>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</si>
  <si>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</si>
  <si>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</si>
  <si>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</si>
  <si>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</si>
  <si>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</si>
  <si>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</si>
  <si>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</si>
  <si>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</si>
  <si>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</si>
  <si>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</si>
  <si>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</si>
  <si>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</si>
  <si>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</si>
  <si>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</si>
  <si>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</si>
  <si>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</si>
  <si>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</si>
  <si>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</si>
  <si>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</si>
  <si>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</si>
  <si>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</si>
  <si>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</si>
  <si>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</si>
  <si>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</si>
  <si>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</si>
  <si>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</si>
  <si>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</si>
  <si>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</si>
  <si>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</si>
  <si>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</si>
  <si>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</si>
  <si>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</si>
  <si>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</si>
  <si>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</si>
  <si>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</si>
  <si>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</si>
  <si>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</si>
  <si>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</si>
  <si>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</si>
  <si>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</si>
  <si>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</si>
  <si>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</si>
  <si>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</si>
  <si>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</si>
  <si>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</si>
  <si>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</si>
  <si>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</si>
  <si>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</si>
  <si>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</si>
  <si>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</si>
  <si>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</si>
  <si>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</si>
  <si>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</si>
  <si>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</si>
  <si>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</si>
  <si>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</si>
  <si>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</si>
  <si>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</si>
  <si>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</si>
  <si>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</si>
  <si>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</si>
  <si>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</si>
  <si>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</si>
  <si>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</si>
  <si>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</si>
  <si>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</si>
  <si>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</si>
  <si>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</si>
  <si>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</si>
  <si>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</si>
  <si>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</si>
  <si>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</si>
  <si>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</si>
  <si>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</si>
  <si>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</si>
  <si>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</si>
  <si>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</si>
  <si>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</si>
  <si>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</si>
  <si>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</si>
  <si>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</si>
  <si>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</si>
  <si>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</si>
  <si>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</si>
  <si>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</si>
  <si>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</si>
  <si>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</si>
  <si>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</si>
  <si>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</si>
  <si>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</si>
  <si>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</si>
  <si>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</si>
  <si>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</si>
  <si>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</si>
  <si>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</si>
  <si>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</si>
  <si>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</si>
  <si>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</si>
  <si>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</si>
  <si>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</si>
  <si>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</si>
  <si>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</si>
  <si>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</si>
  <si>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</si>
  <si>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</si>
  <si>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</si>
  <si>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</si>
  <si>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</si>
  <si>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</si>
  <si>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</si>
  <si>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</si>
  <si>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</si>
  <si>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</si>
  <si>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</si>
  <si>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</si>
  <si>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</si>
  <si>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</si>
  <si>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</si>
  <si>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Concumaer</t>
  </si>
  <si>
    <t>Plant Equivalent Weightage</t>
  </si>
  <si>
    <t>Error Code</t>
  </si>
  <si>
    <t>Error Text</t>
  </si>
  <si>
    <t>Breakdown Description</t>
  </si>
  <si>
    <t>Fault Start TimeStamp</t>
  </si>
  <si>
    <t>Work Start TimeStamp</t>
  </si>
  <si>
    <t>Fault Clearance time</t>
  </si>
  <si>
    <t>Response Time</t>
  </si>
  <si>
    <t>Resolution Time</t>
  </si>
  <si>
    <t>Breakdown Time</t>
  </si>
  <si>
    <t>Action taken</t>
  </si>
  <si>
    <t>Status</t>
  </si>
  <si>
    <t>Plant Equivalent breakdown</t>
  </si>
  <si>
    <t>Paired WTG for Enegy based MA</t>
  </si>
  <si>
    <t>Fault Category</t>
  </si>
  <si>
    <t>PTW No.</t>
  </si>
  <si>
    <t>Job Card No.</t>
  </si>
  <si>
    <t>Year_1</t>
  </si>
  <si>
    <t>BD</t>
  </si>
  <si>
    <t>Close</t>
  </si>
  <si>
    <t>WTG Unscheduled Maintenance</t>
  </si>
  <si>
    <t>WTG Breakdown Maintenance</t>
  </si>
  <si>
    <t>CE100001</t>
  </si>
  <si>
    <t>WTG Scheduled Maintenance</t>
  </si>
  <si>
    <t>WTG Force Majeaure</t>
  </si>
  <si>
    <t>IG Unscheduled Maintenance</t>
  </si>
  <si>
    <t>IG Breakdown Maintenance</t>
  </si>
  <si>
    <t>IG Scheduled Maintenance</t>
  </si>
  <si>
    <t>IG Force Majeaure</t>
  </si>
  <si>
    <t>Open</t>
  </si>
  <si>
    <t>PM</t>
  </si>
  <si>
    <t>CE100007</t>
  </si>
  <si>
    <t>CE100010</t>
  </si>
  <si>
    <t>CE100014</t>
  </si>
  <si>
    <t>None</t>
  </si>
  <si>
    <t>Manual stop</t>
  </si>
  <si>
    <t>Auto reset</t>
  </si>
  <si>
    <t>FM</t>
  </si>
  <si>
    <t>CE100003</t>
  </si>
  <si>
    <t>CE100002</t>
  </si>
  <si>
    <t>PWEGPL</t>
  </si>
  <si>
    <t>MSEDCL</t>
  </si>
  <si>
    <t>CE100017</t>
  </si>
  <si>
    <t>CE100008</t>
  </si>
  <si>
    <t>CE100018</t>
  </si>
  <si>
    <t>Slip ring clean then restore wtg.</t>
  </si>
  <si>
    <t>Year_3</t>
  </si>
  <si>
    <t>Reboot then restore wtg.</t>
  </si>
  <si>
    <t>CE100015</t>
  </si>
  <si>
    <t>Reset then restore wtg.</t>
  </si>
  <si>
    <t>CE100013</t>
  </si>
  <si>
    <t>Untwist then restore wtg.</t>
  </si>
  <si>
    <t>Manual stop for Blade A pitch seal replacement work</t>
  </si>
  <si>
    <t>Manual stop for Blade B pitch seal replacement work</t>
  </si>
  <si>
    <t>Manual stop for blade bush gap issue retrofitting work</t>
  </si>
  <si>
    <t>CCU reset then restore wtg.</t>
  </si>
  <si>
    <t>work in progress</t>
  </si>
  <si>
    <t>Manual stop for blade bush gap inspection work</t>
  </si>
  <si>
    <t>Checked related circuit found ok the restore wtg.</t>
  </si>
  <si>
    <t>Check related circuit found ok then restore wtg.</t>
  </si>
  <si>
    <t>Manual stop for blade bush gap inspection  work</t>
  </si>
  <si>
    <t>Manual stop for blade bush gap inspection work.</t>
  </si>
  <si>
    <t>Checked related circuit found HU contactor failure so replaced with new one then restore wtg.</t>
  </si>
  <si>
    <t>Manual stop/Customer</t>
  </si>
  <si>
    <t>Manual stop for Blade bush gap inspection work</t>
  </si>
  <si>
    <t>Checked related circuit found no leakage then restore wtg.</t>
  </si>
  <si>
    <t>Checked related circuit found yaw motor failure so replaced yaw motor with new one then restore wtg.</t>
  </si>
  <si>
    <t>Checked related circuit found ok then restore wtg.</t>
  </si>
  <si>
    <t>Checked related circuit found leakage form yaw caliper so replaced yaw caliper seal then top-up 30 liter oil then restore wtg.</t>
  </si>
  <si>
    <t>Manual stop for Yaw caliper seal replacement work.</t>
  </si>
  <si>
    <t>Check related circuit found loose connection so tight it then restore wtg.</t>
  </si>
  <si>
    <t>Checked related circuit found CCU coolant cooling motor failure so replaced then start wtg.</t>
  </si>
  <si>
    <t>Check related circuit found yaw motor failure so replace with new one then restore wtg.</t>
  </si>
  <si>
    <t>Check related circuit found RTD module failure so repalced with new one then restore wtg.</t>
  </si>
  <si>
    <t>Checked related circuit found no leakage then top-up 5 liter HU oil then restore wtg.</t>
  </si>
  <si>
    <t>Checked and found MPCB tripped so recorrect it then restore wtg.</t>
  </si>
  <si>
    <t>Checked and found Balde A proportional valve failure so replaced with new one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</si>
  <si>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</si>
  <si>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</si>
  <si>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</si>
  <si>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Reset CCU tchen restore wtg.</t>
  </si>
  <si>
    <t>Checked related circuit found MPCB failure so replaced with new one then restore wtg.</t>
  </si>
  <si>
    <t>Found addon block loose so tight it then restore wtg.</t>
  </si>
  <si>
    <t>Found addon block malfunction  so replaced it then restore wtg.</t>
  </si>
  <si>
    <t>Checked and found SF-6 breaker tripped so charge SF-6 breaker then chen all motor found ok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</si>
  <si>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</si>
  <si>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</si>
  <si>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</si>
  <si>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</si>
  <si>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</si>
  <si>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</si>
  <si>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</si>
  <si>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</si>
  <si>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</si>
  <si>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</si>
  <si>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</si>
  <si>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</si>
  <si>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</si>
  <si>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</si>
  <si>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</si>
  <si>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</si>
  <si>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</si>
  <si>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</si>
  <si>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</si>
  <si>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</si>
  <si>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</si>
  <si>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</si>
  <si>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</si>
  <si>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</si>
  <si>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</si>
  <si>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</si>
  <si>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</si>
  <si>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</si>
  <si>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</si>
  <si>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</si>
  <si>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</si>
  <si>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</si>
  <si>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</si>
  <si>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</si>
  <si>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</si>
  <si>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Check and found yaw encoder failure so replaced with new one then restore wtg.</t>
  </si>
  <si>
    <t>Manual stop for HYPM work</t>
  </si>
  <si>
    <t>OGS reset then restore wg.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</si>
  <si>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</si>
  <si>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</si>
  <si>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</si>
  <si>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</si>
  <si>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</si>
  <si>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</si>
  <si>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</si>
  <si>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</si>
  <si>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</si>
  <si>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</si>
  <si>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</si>
  <si>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</si>
  <si>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</si>
  <si>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</si>
  <si>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</si>
  <si>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</si>
  <si>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</si>
  <si>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</si>
  <si>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</si>
  <si>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</si>
  <si>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</si>
  <si>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</si>
  <si>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</si>
  <si>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</si>
  <si>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</si>
  <si>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</si>
  <si>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</si>
  <si>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</si>
  <si>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</si>
  <si>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</si>
  <si>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 xml:space="preserve">Checked related circuit found KC004 Contactor addon replace </t>
  </si>
  <si>
    <t>Checked related circuit no any obsarvation than start WTG</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</si>
  <si>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</si>
  <si>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</si>
  <si>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</si>
  <si>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</si>
  <si>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</si>
  <si>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</si>
  <si>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</si>
  <si>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</si>
  <si>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</si>
  <si>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</si>
  <si>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</si>
  <si>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</si>
  <si>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</si>
  <si>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</si>
  <si>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Total Reactive Power (kVArh)</t>
  </si>
  <si>
    <t>No scada available server OS failed-reading as per billing meter</t>
  </si>
  <si>
    <t xml:space="preserve">Affected Feeder </t>
  </si>
  <si>
    <t>Scope</t>
  </si>
  <si>
    <t>Wind_F1</t>
  </si>
  <si>
    <t>Wind_F3</t>
  </si>
  <si>
    <t>Wind_F4</t>
  </si>
  <si>
    <t>Wind_F2</t>
  </si>
  <si>
    <t>SGSL</t>
  </si>
  <si>
    <t>Wind_F4_Ckt1</t>
  </si>
  <si>
    <t>Test charged &amp; stood ok</t>
  </si>
  <si>
    <t>Wind_F4_Ckt2</t>
  </si>
  <si>
    <t>O2 power</t>
  </si>
  <si>
    <t>Wind_F3_Ckt2</t>
  </si>
  <si>
    <t>Wind_F3_Ckt1</t>
  </si>
  <si>
    <t>Wind_F2_Ckt1</t>
  </si>
  <si>
    <t>Wind_F1_Ckt1</t>
  </si>
  <si>
    <t>Wind_F2_Ckt2</t>
  </si>
  <si>
    <t>Wind_F1_Ckt2</t>
  </si>
  <si>
    <t xml:space="preserve">F-2 tripped due to Earth fault </t>
  </si>
  <si>
    <t xml:space="preserve">F-3 tripped due to Earth fault </t>
  </si>
  <si>
    <t xml:space="preserve">F-1 tripped due to Earth fault </t>
  </si>
  <si>
    <t xml:space="preserve">F-3 tripped due to Earth fault / Over current </t>
  </si>
  <si>
    <t xml:space="preserve">F-1 tripped due to Earth fault / Over current </t>
  </si>
  <si>
    <t>Circuit open then close one by one</t>
  </si>
  <si>
    <t>F-3 Shutdown taken for scada cable rectification work</t>
  </si>
  <si>
    <t>Scada cable rejoint then restore feeder</t>
  </si>
  <si>
    <t>F-4 Shutdown taken for scada cable rectification work</t>
  </si>
  <si>
    <t>F-3 Shutdown taken for 11Kv line restoration work.</t>
  </si>
  <si>
    <t>11 Kv line restore then restore feeder</t>
  </si>
  <si>
    <t>F-4 Shutdown taken for 11Kv line restoration work.</t>
  </si>
  <si>
    <t xml:space="preserve">F-4 Shutdown taken for line &amp; HT yard preventive maintenance work </t>
  </si>
  <si>
    <t>Line &amp; HT yard maintenance work done then restore circuit</t>
  </si>
  <si>
    <t xml:space="preserve">F-3 Shutdown taken for line &amp; HT yard preventive maintenance work </t>
  </si>
  <si>
    <t>Line &amp; HT yard maintenance work done then restore feeder</t>
  </si>
  <si>
    <t>Line1</t>
  </si>
  <si>
    <t>Grid Failure</t>
  </si>
  <si>
    <t>Charged feeders post Grid resume</t>
  </si>
  <si>
    <t>Location</t>
  </si>
  <si>
    <t>Material Name</t>
  </si>
  <si>
    <t>Quantity</t>
  </si>
  <si>
    <t>UoM</t>
  </si>
  <si>
    <t>Remark</t>
  </si>
  <si>
    <t>Hydraulic Oil</t>
  </si>
  <si>
    <t>liter</t>
  </si>
  <si>
    <t>set</t>
  </si>
  <si>
    <t>pc</t>
  </si>
  <si>
    <t>Pitch seal kit</t>
  </si>
  <si>
    <t>IGBT</t>
  </si>
  <si>
    <t>HU contactor</t>
  </si>
  <si>
    <t>Yaw motor</t>
  </si>
  <si>
    <t>HU oil</t>
  </si>
  <si>
    <t xml:space="preserve">NO addon </t>
  </si>
  <si>
    <t>Gear box oil</t>
  </si>
  <si>
    <t>Proportional valve</t>
  </si>
  <si>
    <t>CCU coolant motor</t>
  </si>
  <si>
    <t xml:space="preserve">Yaw encoder </t>
  </si>
  <si>
    <t>shim (1mm)</t>
  </si>
  <si>
    <t xml:space="preserve">Gear box hose </t>
  </si>
  <si>
    <t>AI module</t>
  </si>
  <si>
    <t>Yaw motor (Bonifigoli)</t>
  </si>
  <si>
    <t>Yaw contactor (26-30-10)</t>
  </si>
  <si>
    <t>Addon (NC)</t>
  </si>
  <si>
    <t>proportional valve</t>
  </si>
  <si>
    <t>WS251 cable</t>
  </si>
  <si>
    <t>netural relay</t>
  </si>
  <si>
    <t>cab module 9 pin</t>
  </si>
  <si>
    <t>WS240 cable</t>
  </si>
  <si>
    <t>MPCB</t>
  </si>
  <si>
    <t>ACB reley (F5103057)</t>
  </si>
  <si>
    <t>HU contactor (52-30-10)</t>
  </si>
  <si>
    <t>Brush holder</t>
  </si>
  <si>
    <t>Brush holder spring</t>
  </si>
  <si>
    <t>Transformer fan</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</si>
  <si>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</si>
  <si>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</si>
  <si>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</si>
  <si>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</si>
  <si>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</si>
  <si>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</si>
  <si>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</si>
  <si>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</si>
  <si>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</si>
  <si>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</si>
  <si>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</si>
  <si>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</si>
  <si>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</si>
  <si>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</si>
  <si>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</si>
  <si>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</si>
  <si>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</si>
  <si>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CAB Module</t>
  </si>
  <si>
    <t>KC004 contactor</t>
  </si>
  <si>
    <t>Needle Valve</t>
  </si>
  <si>
    <t>Single Drive card</t>
  </si>
  <si>
    <t>125A Fuse</t>
  </si>
  <si>
    <t>KC002 Contactor</t>
  </si>
  <si>
    <t>800 HC Resistor</t>
  </si>
  <si>
    <t>Hydraulic pump hose</t>
  </si>
  <si>
    <t>Power supply (10 Amp)</t>
  </si>
  <si>
    <t>Gearbox fan cooling motor</t>
  </si>
  <si>
    <t>Tee - Connector</t>
  </si>
  <si>
    <t>Gear box fan cooling motor</t>
  </si>
  <si>
    <t>Sealant</t>
  </si>
  <si>
    <t>Generator</t>
  </si>
  <si>
    <t>Consumer</t>
  </si>
  <si>
    <t>Capacity</t>
  </si>
  <si>
    <t>% Plant Equiva. Weightage</t>
  </si>
  <si>
    <t>Feeder</t>
  </si>
  <si>
    <t>TX</t>
  </si>
  <si>
    <t>MY</t>
  </si>
  <si>
    <t>Maximum Winding Error</t>
  </si>
  <si>
    <t>TX2</t>
  </si>
  <si>
    <t>Total Capacity</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</si>
  <si>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</si>
  <si>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</si>
  <si>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</si>
  <si>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</si>
  <si>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</si>
  <si>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</si>
  <si>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</si>
  <si>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</si>
  <si>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</si>
  <si>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</si>
  <si>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</si>
  <si>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</si>
  <si>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</si>
  <si>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</si>
  <si>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</si>
  <si>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</si>
  <si>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</si>
  <si>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</si>
  <si>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</si>
  <si>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</si>
  <si>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</si>
  <si>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</si>
  <si>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</si>
  <si>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</si>
  <si>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</si>
  <si>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</si>
  <si>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</si>
  <si>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</si>
  <si>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</si>
  <si>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</si>
  <si>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</si>
  <si>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</si>
  <si>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</si>
  <si>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</si>
  <si>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</si>
  <si>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</si>
  <si>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</si>
  <si>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</si>
  <si>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</si>
  <si>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</si>
  <si>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</si>
  <si>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</si>
  <si>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</si>
  <si>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</si>
  <si>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</si>
  <si>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</si>
  <si>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</si>
  <si>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</si>
  <si>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</si>
  <si>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</si>
  <si>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</si>
  <si>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</si>
  <si>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</si>
  <si>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</si>
  <si>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</si>
  <si>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</si>
  <si>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</si>
  <si>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</si>
  <si>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</si>
  <si>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</si>
  <si>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</si>
  <si>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</si>
  <si>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</si>
  <si>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</si>
  <si>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</si>
  <si>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</si>
  <si>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</si>
  <si>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</si>
  <si>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</si>
  <si>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</si>
  <si>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</si>
  <si>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</si>
  <si>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</si>
  <si>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</si>
  <si>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</si>
  <si>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</si>
  <si>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</si>
  <si>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</si>
  <si>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</si>
  <si>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</si>
  <si>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</si>
  <si>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</si>
  <si>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</si>
  <si>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</si>
  <si>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</si>
  <si>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</si>
  <si>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</si>
  <si>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</si>
  <si>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</si>
  <si>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</si>
  <si>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</si>
  <si>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</si>
  <si>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</si>
  <si>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</si>
  <si>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</si>
  <si>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</si>
  <si>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</si>
  <si>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</si>
  <si>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</si>
  <si>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</si>
  <si>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</si>
  <si>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</si>
  <si>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</si>
  <si>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</si>
  <si>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</si>
  <si>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</si>
  <si>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</si>
  <si>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</si>
  <si>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</si>
  <si>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</si>
  <si>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</si>
  <si>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</si>
  <si>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</si>
  <si>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</si>
  <si>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</si>
  <si>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</si>
  <si>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</si>
  <si>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</si>
  <si>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</si>
  <si>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</si>
  <si>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</si>
  <si>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</si>
  <si>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</si>
  <si>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</si>
  <si>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</si>
  <si>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</si>
  <si>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</si>
  <si>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</si>
  <si>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</si>
  <si>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</si>
  <si>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</si>
  <si>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</si>
  <si>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</si>
  <si>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</si>
  <si>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</si>
  <si>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</si>
  <si>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</si>
  <si>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</si>
  <si>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</si>
  <si>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</si>
  <si>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</si>
  <si>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</si>
  <si>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</si>
  <si>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</si>
  <si>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</si>
  <si>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</si>
  <si>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</si>
  <si>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</si>
  <si>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</si>
  <si>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</si>
  <si>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</si>
  <si>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</si>
  <si>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</si>
  <si>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</si>
  <si>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</si>
  <si>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</si>
  <si>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</si>
  <si>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</si>
  <si>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</si>
  <si>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</si>
  <si>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</si>
  <si>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</si>
  <si>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</si>
  <si>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</si>
  <si>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</si>
  <si>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</si>
  <si>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</si>
  <si>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</si>
  <si>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</si>
  <si>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</si>
  <si>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</si>
  <si>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</si>
  <si>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</si>
  <si>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</si>
  <si>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</si>
  <si>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</si>
  <si>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</si>
  <si>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</si>
  <si>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</si>
  <si>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</si>
  <si>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</si>
  <si>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</si>
  <si>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</si>
  <si>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</si>
  <si>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</si>
  <si>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</si>
  <si>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</si>
  <si>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</si>
  <si>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</si>
  <si>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</si>
  <si>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</si>
  <si>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</si>
  <si>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</si>
  <si>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</si>
  <si>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</si>
  <si>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</si>
  <si>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</si>
  <si>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</si>
  <si>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</si>
  <si>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</si>
  <si>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</si>
  <si>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</si>
  <si>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</si>
  <si>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</si>
  <si>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</si>
  <si>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</si>
  <si>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</si>
  <si>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</si>
  <si>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</si>
  <si>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</si>
  <si>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</si>
  <si>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</si>
  <si>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</si>
  <si>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</si>
  <si>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</si>
  <si>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</si>
  <si>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</si>
  <si>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</si>
  <si>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</si>
  <si>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</si>
  <si>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</si>
  <si>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</si>
  <si>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</si>
  <si>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</si>
  <si>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</si>
  <si>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</si>
  <si>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</si>
  <si>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</si>
  <si>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</si>
  <si>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</si>
  <si>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</si>
  <si>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</si>
  <si>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</si>
  <si>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</si>
  <si>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</si>
  <si>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</si>
  <si>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</si>
  <si>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</si>
  <si>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</si>
  <si>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</si>
  <si>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</si>
  <si>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</si>
  <si>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</si>
  <si>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</si>
  <si>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</si>
  <si>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</si>
  <si>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</si>
  <si>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</si>
  <si>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</si>
  <si>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</si>
  <si>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</si>
  <si>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</si>
  <si>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</si>
  <si>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</si>
  <si>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CE100004</t>
  </si>
  <si>
    <t>Major BD - Generator</t>
  </si>
  <si>
    <t>CE100005</t>
  </si>
  <si>
    <t>Major BD - Gearbox</t>
  </si>
  <si>
    <t>CE100006</t>
  </si>
  <si>
    <t>Major BD - Main Bearing</t>
  </si>
  <si>
    <t>CE100009</t>
  </si>
  <si>
    <t>Major BD - Power Cable</t>
  </si>
  <si>
    <t>CE100011</t>
  </si>
  <si>
    <t>Major BD - DFIG</t>
  </si>
  <si>
    <t>CE100012</t>
  </si>
  <si>
    <t>Major BD - Foundation</t>
  </si>
  <si>
    <t>Theft</t>
  </si>
  <si>
    <t>Manual Stop - Safety Related</t>
  </si>
  <si>
    <t>CE100016</t>
  </si>
  <si>
    <t>Manual Stop - Blade Cleaning</t>
  </si>
  <si>
    <t xml:space="preserve">F-4 tripped due to Earth fault </t>
  </si>
  <si>
    <t>Circuit 2 isolator open then closed</t>
  </si>
  <si>
    <t>Manual stop for lift clamp replacement work</t>
  </si>
  <si>
    <t xml:space="preserve">F-4 Ckt-1 Shutdown taken for line &amp; HT yard preventive maintenance work </t>
  </si>
  <si>
    <t xml:space="preserve">F-1 Shutdown taken for line &amp; HT yard preventive maintenance work </t>
  </si>
  <si>
    <t>LA failure in G12 HT yard so replaced it then restore feeder</t>
  </si>
  <si>
    <t>Lift guide clamp</t>
  </si>
  <si>
    <t>Slipring unit</t>
  </si>
  <si>
    <t>No leakage fond than start WTG</t>
  </si>
  <si>
    <t xml:space="preserve">WTG Environmental </t>
  </si>
  <si>
    <t>EG Unscheduled Maintenance</t>
  </si>
  <si>
    <t>EG Breakdown Maintenance</t>
  </si>
  <si>
    <t>EG Scheduled Maintenance</t>
  </si>
  <si>
    <t>checked related circuit found no leakage then top-up 10 liter HU oil then restore wtg.</t>
  </si>
  <si>
    <t xml:space="preserve">F-2 Shutdown taken for line &amp; HT yard preventive maintenance work </t>
  </si>
  <si>
    <t xml:space="preserve">HU oil </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</si>
  <si>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</si>
  <si>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</si>
  <si>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</si>
  <si>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</si>
  <si>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</si>
  <si>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</si>
  <si>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</si>
  <si>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</si>
  <si>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</si>
  <si>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</si>
  <si>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</si>
  <si>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</si>
  <si>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</si>
  <si>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</si>
  <si>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</si>
  <si>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</si>
  <si>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</si>
  <si>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</si>
  <si>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</si>
  <si>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</si>
  <si>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</si>
  <si>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</si>
  <si>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</si>
  <si>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</si>
  <si>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</si>
  <si>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</si>
  <si>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</si>
  <si>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</si>
  <si>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</si>
  <si>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</si>
  <si>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</si>
  <si>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</si>
  <si>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</si>
  <si>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</si>
  <si>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G 24</t>
  </si>
  <si>
    <t>ABB</t>
  </si>
  <si>
    <t>G 25</t>
  </si>
  <si>
    <t> </t>
  </si>
  <si>
    <t>G 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</si>
  <si>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</si>
  <si>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</si>
  <si>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</si>
  <si>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</si>
  <si>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G 30</t>
  </si>
  <si>
    <t>G 29</t>
  </si>
  <si>
    <t>G 34</t>
  </si>
  <si>
    <t>G 33</t>
  </si>
  <si>
    <t>G 35</t>
  </si>
  <si>
    <t>G 36</t>
  </si>
  <si>
    <t>G 37</t>
  </si>
  <si>
    <t>G 38</t>
  </si>
  <si>
    <t>G 39</t>
  </si>
  <si>
    <t xml:space="preserve"> 02 days Maint activity stopped for G-25 PM pending completion work.
</t>
  </si>
  <si>
    <t>G 40</t>
  </si>
  <si>
    <t>PM team has taken weekly off and they continue to PM work on Sunday</t>
  </si>
  <si>
    <t>PM postpone to 10-12-24 due to N2 Not avail.</t>
  </si>
  <si>
    <t>G 26</t>
  </si>
  <si>
    <t xml:space="preserve">PM team-02 employees on leave. Date- 28-11-23 </t>
  </si>
  <si>
    <t>PM Postpone 2day to 15-12-24 ,due to G-33 Pitch seal replacement work &amp; team busy in 14-12-24 &amp;G-26 B.D</t>
  </si>
  <si>
    <t>G 32</t>
  </si>
  <si>
    <t xml:space="preserve">PM team-02 employees on leave. Date- 29-11-23 </t>
  </si>
  <si>
    <t>Delay due to G-26 ,pin ball hardware damaged from 12-dec-24 to 18-dec-24</t>
  </si>
  <si>
    <t>G 28</t>
  </si>
  <si>
    <t>ROW at site office (11-10-23 to 16-10-23) for crane movement to G20</t>
  </si>
  <si>
    <t>G 21</t>
  </si>
  <si>
    <t>92</t>
  </si>
  <si>
    <t>Major B.D(Stopped due to Blade Root gap) on 15-July-24@12:51 ,Repair work completed on 15-Feb-25</t>
  </si>
  <si>
    <t>G 22</t>
  </si>
  <si>
    <t>G 23</t>
  </si>
  <si>
    <t>WTG under major BM blade crack</t>
  </si>
  <si>
    <t>G 05</t>
  </si>
  <si>
    <t xml:space="preserve">Little early taken due to HG temp error &amp; resolved </t>
  </si>
  <si>
    <t>G 15</t>
  </si>
  <si>
    <t>G 16</t>
  </si>
  <si>
    <t>PM team have taken off on 31/12/24</t>
  </si>
  <si>
    <t>G 17</t>
  </si>
  <si>
    <t xml:space="preserve">PM team have taken off on 01/01/25 &amp; on dated 05/01/25 PM cancelled due to vehicle issue </t>
  </si>
  <si>
    <t>G 18</t>
  </si>
  <si>
    <t>Team-01 assigned Yaw drive replacement work at G-15</t>
  </si>
  <si>
    <t>G 19</t>
  </si>
  <si>
    <t> on dated 09-Jan-25 ,PM cancelled due to G-18 PM Pending point Closing work</t>
  </si>
  <si>
    <t>G 20</t>
  </si>
  <si>
    <t>G 14</t>
  </si>
  <si>
    <t>on the date 15-01-25 PM Team Taken w-off</t>
  </si>
  <si>
    <t>G 13</t>
  </si>
  <si>
    <t>PM Postpone to 20-01-24,due to recreational(Sports) event as per sidhu's mail communication</t>
  </si>
  <si>
    <t>G 12</t>
  </si>
  <si>
    <t>G 09</t>
  </si>
  <si>
    <t>PM Cancelled  in 26th jan ,Republic day</t>
  </si>
  <si>
    <t>G 08</t>
  </si>
  <si>
    <t>G 06</t>
  </si>
  <si>
    <t>G 03</t>
  </si>
  <si>
    <t>Day-02 Activity not taken due to N2 Not avail.(&amp; day-2 taken after G-04)</t>
  </si>
  <si>
    <t>G 04</t>
  </si>
  <si>
    <t>Day-02 not taken due to Annual Blood donation drive</t>
  </si>
  <si>
    <t>G 02</t>
  </si>
  <si>
    <t>G 07</t>
  </si>
  <si>
    <t>G 01</t>
  </si>
  <si>
    <t>G 10</t>
  </si>
  <si>
    <t>G 11</t>
  </si>
  <si>
    <t>PM 1day postpone due to G-37 B.D(HU oil level)so replaced 3nos accumulator</t>
  </si>
  <si>
    <t>PWEGPL25</t>
  </si>
  <si>
    <t>PWEGPL27</t>
  </si>
  <si>
    <t>PWEGPL31</t>
  </si>
  <si>
    <t>PWEGPL30</t>
  </si>
  <si>
    <t>PWEGPL29</t>
  </si>
  <si>
    <t>PWEGPL28</t>
  </si>
  <si>
    <t>PWEGPL34</t>
  </si>
  <si>
    <t>PWEGPL33</t>
  </si>
  <si>
    <t>PWEGPL35</t>
  </si>
  <si>
    <t>PWEGPL36</t>
  </si>
  <si>
    <t>PWEGPL37</t>
  </si>
  <si>
    <t>PWEGPL38</t>
  </si>
  <si>
    <t>PWEGPL39</t>
  </si>
  <si>
    <t>PWEGPL40</t>
  </si>
  <si>
    <t>PWEGPL26</t>
  </si>
  <si>
    <t>PWEGPL32</t>
  </si>
  <si>
    <t>PWEGPL21</t>
  </si>
  <si>
    <t>PWEGPL22</t>
  </si>
  <si>
    <t>PWEGPL23</t>
  </si>
  <si>
    <t>PWEGPL05</t>
  </si>
  <si>
    <t>PWEGPL15</t>
  </si>
  <si>
    <t>PWEGPL16</t>
  </si>
  <si>
    <t>PWEGPL17</t>
  </si>
  <si>
    <t>PWEGPL18</t>
  </si>
  <si>
    <t>PWEGPL19</t>
  </si>
  <si>
    <t>PWEGPL20</t>
  </si>
  <si>
    <t>PWEGPL14</t>
  </si>
  <si>
    <t>PWEGPL13</t>
  </si>
  <si>
    <t>PWEGPL12</t>
  </si>
  <si>
    <t>PWEGPL09</t>
  </si>
  <si>
    <t>PWEGPL08</t>
  </si>
  <si>
    <t>PWEGPL06</t>
  </si>
  <si>
    <t>PWEGPL03</t>
  </si>
  <si>
    <t>PWEGPL04</t>
  </si>
  <si>
    <t>PWEGPL02</t>
  </si>
  <si>
    <t>PWEGPL07</t>
  </si>
  <si>
    <t>PWEGPL01</t>
  </si>
  <si>
    <t>PWEGPL10</t>
  </si>
  <si>
    <t>PWEGPL11</t>
  </si>
  <si>
    <t>Diff. Days</t>
  </si>
  <si>
    <t>Adherence</t>
  </si>
  <si>
    <t>126 Month
Plan Date
HYPM</t>
  </si>
  <si>
    <t>126 Month
Actual Date
HYPM</t>
  </si>
  <si>
    <t>WTG</t>
  </si>
  <si>
    <t>Delay due to payment issue</t>
  </si>
  <si>
    <t>Major B.D Blade root bush gap issue in blade no 596</t>
  </si>
  <si>
    <t>Major B.D Blade root bush gap issue blade 636 de erected</t>
  </si>
  <si>
    <t>delay due to Pitch seal replaced in G-07</t>
  </si>
  <si>
    <t>Delay due to Pitch cylinder replacement work in G-26</t>
  </si>
  <si>
    <t>Delayed due to  8 employess GWO training(for 4days)</t>
  </si>
  <si>
    <t>Manual stop for Carbon brush replacement work.</t>
  </si>
  <si>
    <t>Carbon brush ABB</t>
  </si>
  <si>
    <t>Carbon brush Spring ABB</t>
  </si>
  <si>
    <t>Manual stop for repeted error (low pressure on hydraulic group and failure of the rotor power supply failure) found losse connection and set RV8-10 valve then restore wtg.</t>
  </si>
  <si>
    <t xml:space="preserve">F-1 Shutdown taken for line &amp; VCB yard preventive maintenance work </t>
  </si>
  <si>
    <t xml:space="preserve">F-2 Shutdown taken for line &amp; VCB yard preventive maintenance work </t>
  </si>
  <si>
    <t>Line &amp; VCB yard maintenance work done then restore feeder</t>
  </si>
  <si>
    <t xml:space="preserve">F-4 Shutdown taken for container movement work </t>
  </si>
  <si>
    <t>F-4 Shutdown taken for PT replacement work .</t>
  </si>
  <si>
    <t xml:space="preserve">PT replaced then restore feeder </t>
  </si>
  <si>
    <t>Container movement then restore feeder</t>
  </si>
  <si>
    <t>Manual stop for SEM meter CT/PT earthing istallation work</t>
  </si>
  <si>
    <t>Manual stop for HU main accumulator replacement work</t>
  </si>
  <si>
    <t>F-4 shutdown taken for Protection PT replaced</t>
  </si>
  <si>
    <t>HU main accumulator (32 liter)</t>
  </si>
  <si>
    <t>Checked and found FG780 MPCB tripped so correct it then checked motor and connections then restore wtg.</t>
  </si>
  <si>
    <t xml:space="preserve">Manual stop for Customer audit work </t>
  </si>
  <si>
    <t>(work in progress) Tee-connector failure wtg side.</t>
  </si>
  <si>
    <t>G01 Isolator open then restore feeder</t>
  </si>
  <si>
    <t>Checked related circuit found Tee connector failure so replaced Tee connector with new one then restore wtg.</t>
  </si>
  <si>
    <t>Checked related circuit found TA033 power supply failure so replaced with new one then restore wtg.</t>
  </si>
  <si>
    <t>Power supply (20 Amp)</t>
  </si>
  <si>
    <t>Checked related circuit found Diode failure so replaced with new one then restore wtg.</t>
  </si>
  <si>
    <t>Manual stop for Customer audit point rectification and Gear box damper replacement work.</t>
  </si>
  <si>
    <t>Gear box damper</t>
  </si>
  <si>
    <t>Checked reslsted circuit found PRV valve failure so replaced with new one then restore wtg.</t>
  </si>
  <si>
    <t>Check related circuit found Addon and CCU malfunction so replaced addon and reset CCU then restore wtg.</t>
  </si>
  <si>
    <t>Manual stop for SEM meter CT/PT connection work</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</si>
  <si>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</si>
  <si>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</si>
  <si>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Coolant pump  with motor</t>
  </si>
  <si>
    <t xml:space="preserve">Addon </t>
  </si>
  <si>
    <t>Circuit 2 petorling done then charge circuit 2</t>
  </si>
  <si>
    <t>Circuit 2 isolator open then charge feeder circuit 1</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</si>
  <si>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</si>
  <si>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</si>
  <si>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</si>
  <si>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Coolant motor</t>
  </si>
  <si>
    <t>Checked related circuit found HU hose failure so replaced with new one then restore wtg.</t>
  </si>
  <si>
    <t>Checked related circuit found ccU coolant cooling motor failure so replaced with new one then restore wtg. then start wtg.</t>
  </si>
  <si>
    <t>HU hose (GP037088</t>
  </si>
  <si>
    <t>CCU cooling motor</t>
  </si>
  <si>
    <t>Carbon brush</t>
  </si>
  <si>
    <t xml:space="preserve">carbon brush </t>
  </si>
  <si>
    <t>Checked releated circuit found MPCB failure so replaced with new one then restore wtg.</t>
  </si>
  <si>
    <t xml:space="preserve">Checked related circuit found  losse connection in yaw sensor so tight it then restore wtg. </t>
  </si>
  <si>
    <t>IG Force Majeure</t>
  </si>
  <si>
    <t>EG Force Majeure</t>
  </si>
  <si>
    <t>WTG Force Majeure</t>
  </si>
  <si>
    <t>Manual stop for HYPM pending piont rectification work</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</si>
  <si>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</si>
  <si>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</si>
  <si>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</si>
  <si>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</si>
  <si>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 xml:space="preserve">Carbon brush </t>
  </si>
  <si>
    <t>Manual stop for repeated error found valve malfunction so replaced with new one then restore wtg.</t>
  </si>
  <si>
    <t>PRV8-10 valve</t>
  </si>
  <si>
    <t>Checked related circuit found oil leakage from Blade C Accumulator so replaced with new one then N2 refilling done then restore wtg.</t>
  </si>
  <si>
    <t>Manual stop for HYPM pending point rectification and radaitor clening work</t>
  </si>
  <si>
    <t>SEM Yard Earthing work done then restore wtg.</t>
  </si>
  <si>
    <t>checked T connector failure (work in progress)</t>
  </si>
  <si>
    <t>Line petroling done then charged feeder</t>
  </si>
  <si>
    <t>F-2 tripped due to Over current</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</si>
  <si>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</si>
  <si>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</si>
  <si>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</si>
  <si>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</si>
  <si>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</si>
  <si>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</si>
  <si>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</si>
  <si>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gadus</t>
  </si>
  <si>
    <t>PRV1-10 valve</t>
  </si>
  <si>
    <t>RV8-10 valve</t>
  </si>
  <si>
    <t>F-3 tripped due to Over current</t>
  </si>
  <si>
    <t>Manual stop for HYPM pending point rectification work</t>
  </si>
  <si>
    <t>Checked related circuit found cable connection loose so tight it then restore wtg</t>
  </si>
  <si>
    <t>Checked related circuit checked SF-6 breaker &amp; Transformer (work in progress)</t>
  </si>
  <si>
    <t>F-2 Shutdown taken for PG connector sparking rectification work</t>
  </si>
  <si>
    <t>PG connector replaced then restore circuit</t>
  </si>
  <si>
    <t>Manual stop for Trf Temperature high trouble shooting work</t>
  </si>
  <si>
    <t xml:space="preserve">Slipring cleaned Then Start WTG. </t>
  </si>
  <si>
    <t>Check related ckt found connection loose then tighted properly &amp; Reatore</t>
  </si>
  <si>
    <t>Material arrangement in progress</t>
  </si>
  <si>
    <t>Take meggering &amp; MBT test found trf failure (Work in progress)</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</si>
  <si>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</si>
  <si>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</si>
  <si>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</si>
  <si>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</si>
  <si>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</si>
  <si>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</si>
  <si>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</si>
  <si>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</si>
  <si>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</si>
  <si>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</si>
  <si>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</si>
  <si>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 xml:space="preserve">F-1 tripped due to Earth fault/ Over Current </t>
  </si>
  <si>
    <t>Check pressure switch connection, KR919 Relay,TA 031 Power supply output cable was short circuit,in hub pressure switch.so, corrected the circuit and restore the wtg</t>
  </si>
  <si>
    <t>MPCB (2.5 to 4.0)</t>
  </si>
  <si>
    <t>Gearbox Pump Hose</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</si>
  <si>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</si>
  <si>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</si>
  <si>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</si>
  <si>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</si>
  <si>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propotional valve</t>
  </si>
  <si>
    <t>Stoppage Type</t>
  </si>
  <si>
    <t>Major Breakdown</t>
  </si>
  <si>
    <t>Breakdown</t>
  </si>
  <si>
    <t>ROW</t>
  </si>
  <si>
    <t>Paired WTG Generation for loss calculation</t>
  </si>
  <si>
    <t>Estimated Energy Loss (kWh)</t>
  </si>
  <si>
    <t>Special Remarks</t>
  </si>
  <si>
    <t>Breakdown Type</t>
  </si>
  <si>
    <t>Curtailment Order imit.</t>
  </si>
  <si>
    <t>EGA_Including_CurtailmentOrder</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</si>
  <si>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</si>
  <si>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</si>
  <si>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</si>
  <si>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</si>
  <si>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</si>
  <si>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</si>
  <si>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</si>
  <si>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</si>
  <si>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</si>
  <si>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</si>
  <si>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</si>
  <si>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</si>
  <si>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Multiwing fan</t>
  </si>
  <si>
    <t xml:space="preserve">Light </t>
  </si>
  <si>
    <t xml:space="preserve">MPCB </t>
  </si>
  <si>
    <t>Rotor Handle</t>
  </si>
  <si>
    <t>sealant</t>
  </si>
  <si>
    <t>ABB internal Generator motor</t>
  </si>
  <si>
    <t>ABB carbon brush</t>
  </si>
  <si>
    <t>Checked and found WS243C cable was faulty so,replaced it.</t>
  </si>
  <si>
    <t>RV-8-10 valve setting done,then started the WTG</t>
  </si>
  <si>
    <t>Replaced 2nos. Trafo fan(R-HV,B-LV)</t>
  </si>
  <si>
    <t>Shutdown taken for External line LT conductor rejoin work</t>
  </si>
  <si>
    <t>After the work feeder charged</t>
  </si>
  <si>
    <t>chacked and found slipring connection cable loose, so,fixed it. Then replaced a 80w panel fan</t>
  </si>
  <si>
    <t>Chacked and found gearbox hose leakage so,replaced it. Top up 90 lit GB Oil</t>
  </si>
  <si>
    <t>Replaced 4nos. Trafo fan(B-HV,R,Y&amp;B-LV)</t>
  </si>
  <si>
    <t>gearbox manifold to metal hose connecting hose</t>
  </si>
  <si>
    <t>GB Oil</t>
  </si>
  <si>
    <t>LA hammer</t>
  </si>
  <si>
    <t>Post PM audit done</t>
  </si>
  <si>
    <t>3 nos.L A Hammer replaced,sealant applied</t>
  </si>
  <si>
    <t>chack related circuit found cable loose,after fixing cable start the wtg</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</si>
  <si>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</si>
  <si>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</si>
  <si>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80w fan</t>
  </si>
  <si>
    <t>motor side coupler</t>
  </si>
  <si>
    <t>spider</t>
  </si>
  <si>
    <t>relay base</t>
  </si>
  <si>
    <t>chacked electrovalves,pressure switch connection,pressure valves setting then fix them again and start the WTG</t>
  </si>
  <si>
    <t>found pressure switch connection cable faulty,so rejoin it and start the WTG</t>
  </si>
  <si>
    <t>clean slipring,and pm pending poins closed</t>
  </si>
  <si>
    <t>127 w panel fan</t>
  </si>
  <si>
    <t>cab module</t>
  </si>
  <si>
    <t>chack slipring connection,module, found cab module failure, so,replaced it.</t>
  </si>
  <si>
    <t>updated  PLC software</t>
  </si>
  <si>
    <t>Chacked ccu,encoder connection,corrected encoder cable connection,then started the WTG</t>
  </si>
  <si>
    <t>Blade inspection done</t>
  </si>
  <si>
    <t>Check slipring carbon brush found all are ok then check feedback ckt found ok then restore wtg</t>
  </si>
  <si>
    <t>80 w panel fan</t>
  </si>
  <si>
    <t>Check related ckt found HU contactor failure so replaced then restore WTG</t>
  </si>
  <si>
    <t>Check related circuit we found PRV 1-10 valve issue so replaced it &amp;found hydraulic main hose damage so we replaced the hose</t>
  </si>
  <si>
    <t>HU Main Hose</t>
  </si>
  <si>
    <t>Check related ckt found ground brush feedback failure so replaced.</t>
  </si>
  <si>
    <t>Shutdown taken for scada cable rejoined work .</t>
  </si>
  <si>
    <t>Check releted circuit found Cap anemometer connection loose so tighed than start WTG</t>
  </si>
  <si>
    <t>Generator bearing apply grease slipring 4 carbon brush change than start WTG</t>
  </si>
  <si>
    <t>Kluberplex BEM 41-132</t>
  </si>
  <si>
    <t>gm</t>
  </si>
  <si>
    <t xml:space="preserve">line clearance for crane </t>
  </si>
  <si>
    <t>crane passed then restore feeder</t>
  </si>
  <si>
    <t>Checked leakage, no leakage found then restore wtg.</t>
  </si>
  <si>
    <t xml:space="preserve"> Check releted circuit found proportional valve failure so replace it, than start WTG</t>
  </si>
  <si>
    <t xml:space="preserve"> Check releted circuit found MPCB failure so replace it, than start WTG</t>
  </si>
  <si>
    <t xml:space="preserve">Proportional valve </t>
  </si>
  <si>
    <t>MPCB MS 132 (8A-12A)</t>
  </si>
  <si>
    <t>Clean slipring than start WTG</t>
  </si>
  <si>
    <t>Check releted circuit found FG781A connection loose so tighed than start WTG</t>
  </si>
  <si>
    <t>Check related ckt found  connection loose , connection tighten properly &amp; trail taken then FG280 MPCB Tripped so stand mpcb then restore wtg.</t>
  </si>
  <si>
    <t>Check related ckt found fg280 mpcb tripped so mpcb stand &amp; connection checked then trail taken again mpcb trip so check KM004 Contactor connection found connection loose then tighten properly then restore wtg.</t>
  </si>
  <si>
    <t>Removed materials arrangment in progress</t>
  </si>
  <si>
    <t>Material shortage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</si>
</sst>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0.0"/>
    <numFmt numFmtId="165" formatCode="[$-409]d/mmm/yy;@"/>
    <numFmt numFmtId="166" formatCode="[$-409]mmm/yy;@"/>
    <numFmt numFmtId="167" formatCode="[$-409]d\-mmm\-yy;@"/>
    <numFmt numFmtId="168" formatCode="_ * #,##0_ ;_ * \-#,##0_ ;_ * &quot;-&quot;??_ ;_ @_ "/>
    <numFmt numFmtId="169" formatCode="0.0%"/>
    <numFmt numFmtId="170" formatCode="h:mm;@"/>
    <numFmt numFmtId="171" formatCode="dd/mmm/yyyy"/>
  </numFmts>
  <fonts count="35">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color theme="1"/>
      <name val="Calibri"/>
      <family val="2"/>
      <charset val="134"/>
      <scheme val="minor"/>
    </font>
  </fonts>
  <fills count="29">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
      <patternFill patternType="solid">
        <fgColor theme="0" tint="-4.9989318521683403E-2"/>
        <bgColor indexed="64"/>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cellStyleXfs>
  <cellXfs count="415">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5"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6"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4" fontId="5" fillId="0" borderId="1" xfId="4" applyNumberFormat="1" applyFont="1" applyFill="1" applyBorder="1" applyAlignment="1">
      <alignment horizontal="center"/>
    </xf>
    <xf numFmtId="168" fontId="5" fillId="7" borderId="1" xfId="1" applyNumberFormat="1" applyFont="1" applyFill="1" applyBorder="1" applyAlignment="1">
      <alignment horizontal="center"/>
    </xf>
    <xf numFmtId="164"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7"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69" fontId="0" fillId="13" borderId="8" xfId="2" applyNumberFormat="1" applyFont="1" applyFill="1" applyBorder="1" applyAlignment="1">
      <alignment horizontal="center" vertical="center"/>
    </xf>
    <xf numFmtId="169"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6" fontId="15" fillId="5" borderId="14" xfId="8" applyNumberFormat="1" applyFont="1" applyFill="1" applyBorder="1" applyAlignment="1">
      <alignment horizontal="left" vertical="center"/>
    </xf>
    <xf numFmtId="166" fontId="15" fillId="5" borderId="14" xfId="8" applyNumberFormat="1" applyFont="1" applyFill="1" applyBorder="1" applyAlignment="1">
      <alignment vertical="center"/>
    </xf>
    <xf numFmtId="166" fontId="15" fillId="5" borderId="15" xfId="8" applyNumberFormat="1" applyFont="1" applyFill="1" applyBorder="1" applyAlignment="1">
      <alignment vertical="center"/>
    </xf>
    <xf numFmtId="165"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5" fontId="15" fillId="5" borderId="17" xfId="8" applyNumberFormat="1" applyFont="1" applyFill="1" applyBorder="1" applyAlignment="1">
      <alignment horizontal="left" vertical="center"/>
    </xf>
    <xf numFmtId="166" fontId="15" fillId="5" borderId="18" xfId="8" applyNumberFormat="1" applyFont="1" applyFill="1" applyBorder="1" applyAlignment="1">
      <alignment vertical="center"/>
    </xf>
    <xf numFmtId="166" fontId="15" fillId="5" borderId="19" xfId="8" applyNumberFormat="1" applyFont="1" applyFill="1" applyBorder="1" applyAlignment="1">
      <alignment vertical="center"/>
    </xf>
    <xf numFmtId="0" fontId="16" fillId="5" borderId="20" xfId="0" applyFont="1" applyFill="1" applyBorder="1"/>
    <xf numFmtId="165"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4" fontId="15" fillId="5" borderId="24" xfId="2" applyNumberFormat="1" applyFont="1" applyFill="1" applyBorder="1" applyAlignment="1">
      <alignment horizontal="center" vertical="center"/>
    </xf>
    <xf numFmtId="164" fontId="16" fillId="5" borderId="24" xfId="2" applyNumberFormat="1" applyFont="1" applyFill="1" applyBorder="1" applyAlignment="1">
      <alignment horizontal="center"/>
    </xf>
    <xf numFmtId="164" fontId="15" fillId="5" borderId="26" xfId="2" applyNumberFormat="1" applyFont="1" applyFill="1" applyBorder="1" applyAlignment="1">
      <alignment horizontal="center" vertical="center"/>
    </xf>
    <xf numFmtId="164" fontId="16" fillId="5" borderId="26" xfId="2" applyNumberFormat="1" applyFont="1" applyFill="1" applyBorder="1" applyAlignment="1">
      <alignment horizontal="center"/>
    </xf>
    <xf numFmtId="164" fontId="15" fillId="5" borderId="28" xfId="2" applyNumberFormat="1" applyFont="1" applyFill="1" applyBorder="1" applyAlignment="1">
      <alignment horizontal="center" vertical="center"/>
    </xf>
    <xf numFmtId="164" fontId="16" fillId="5" borderId="28" xfId="2" applyNumberFormat="1" applyFont="1" applyFill="1" applyBorder="1" applyAlignment="1">
      <alignment horizontal="center"/>
    </xf>
    <xf numFmtId="169" fontId="16" fillId="5" borderId="24" xfId="2" applyNumberFormat="1" applyFont="1" applyFill="1" applyBorder="1" applyAlignment="1">
      <alignment horizontal="center"/>
    </xf>
    <xf numFmtId="169" fontId="16" fillId="5" borderId="26" xfId="2" applyNumberFormat="1" applyFont="1" applyFill="1" applyBorder="1" applyAlignment="1">
      <alignment horizontal="center"/>
    </xf>
    <xf numFmtId="169"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0" fillId="9" borderId="8" xfId="0" applyFill="1" applyBorder="1" applyAlignment="1">
      <alignment vertical="center"/>
    </xf>
    <xf numFmtId="43" fontId="0" fillId="0" borderId="0" xfId="0" applyNumberFormat="1"/>
    <xf numFmtId="0" fontId="0" fillId="0" borderId="8" xfId="0" applyBorder="1" applyAlignment="1">
      <alignment horizontal="left" vertical="top"/>
    </xf>
    <xf numFmtId="0" fontId="0" fillId="17" borderId="8" xfId="0" applyFill="1" applyBorder="1" applyAlignment="1">
      <alignment horizontal="left" vertical="top"/>
    </xf>
    <xf numFmtId="0" fontId="19" fillId="0" borderId="8" xfId="0" applyFont="1" applyBorder="1" applyAlignment="1">
      <alignment horizontal="left"/>
    </xf>
    <xf numFmtId="0" fontId="0" fillId="9" borderId="33" xfId="0" applyFill="1" applyBorder="1" applyAlignment="1">
      <alignment vertical="center"/>
    </xf>
    <xf numFmtId="15" fontId="0" fillId="10" borderId="33" xfId="0" applyNumberFormat="1" applyFill="1" applyBorder="1" applyAlignment="1">
      <alignment horizontal="center" vertical="center"/>
    </xf>
    <xf numFmtId="10" fontId="3" fillId="3" borderId="8" xfId="4" applyNumberFormat="1" applyFont="1" applyFill="1" applyBorder="1" applyAlignment="1">
      <alignment horizontal="center" vertical="center" wrapText="1"/>
    </xf>
    <xf numFmtId="10" fontId="0" fillId="0" borderId="8" xfId="2" applyNumberFormat="1" applyFont="1" applyBorder="1"/>
    <xf numFmtId="43" fontId="0" fillId="0" borderId="8" xfId="1" applyFont="1" applyBorder="1"/>
    <xf numFmtId="9" fontId="0" fillId="0" borderId="8" xfId="2" applyFont="1" applyBorder="1"/>
    <xf numFmtId="0" fontId="0" fillId="0" borderId="8" xfId="0" applyBorder="1"/>
    <xf numFmtId="169" fontId="0" fillId="0" borderId="8" xfId="2" applyNumberFormat="1" applyFont="1" applyBorder="1"/>
    <xf numFmtId="169" fontId="0" fillId="0" borderId="8" xfId="0" applyNumberFormat="1" applyBorder="1"/>
    <xf numFmtId="0" fontId="0" fillId="0" borderId="34" xfId="0" applyBorder="1" applyAlignment="1">
      <alignment horizontal="left" vertical="top"/>
    </xf>
    <xf numFmtId="16" fontId="0" fillId="0" borderId="0" xfId="0" applyNumberFormat="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4"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8"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pivotButton="1" applyBorder="1"/>
    <xf numFmtId="0" fontId="0" fillId="0" borderId="8" xfId="0" applyBorder="1" applyAlignment="1">
      <alignment horizontal="left"/>
    </xf>
    <xf numFmtId="43" fontId="0" fillId="0" borderId="8" xfId="0" applyNumberFormat="1" applyBorder="1"/>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1"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4"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5"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69" fontId="0" fillId="0" borderId="0" xfId="46" applyNumberFormat="1" applyFont="1" applyAlignment="1">
      <alignment horizontal="center" vertical="center"/>
    </xf>
    <xf numFmtId="10" fontId="0" fillId="0" borderId="0" xfId="46" applyNumberFormat="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4"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4"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5"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69" fontId="15" fillId="0" borderId="24" xfId="2" applyNumberFormat="1" applyFont="1" applyFill="1" applyBorder="1" applyAlignment="1">
      <alignment horizontal="center" vertical="center"/>
    </xf>
    <xf numFmtId="169" fontId="15" fillId="0" borderId="26" xfId="2" applyNumberFormat="1" applyFont="1" applyFill="1" applyBorder="1" applyAlignment="1">
      <alignment horizontal="center" vertical="center"/>
    </xf>
    <xf numFmtId="169" fontId="15" fillId="0" borderId="28" xfId="2" applyNumberFormat="1" applyFont="1" applyFill="1" applyBorder="1" applyAlignment="1">
      <alignment horizontal="center" vertical="center"/>
    </xf>
    <xf numFmtId="10" fontId="0" fillId="0" borderId="0" xfId="0" applyNumberFormat="1"/>
    <xf numFmtId="169"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6" fontId="15" fillId="5" borderId="14" xfId="8" applyNumberFormat="1" applyFont="1" applyFill="1" applyBorder="1" applyAlignment="1" applyProtection="1">
      <alignment horizontal="left" vertical="center"/>
      <protection locked="0"/>
    </xf>
    <xf numFmtId="165"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8"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7" fontId="28" fillId="14" borderId="46" xfId="0" applyNumberFormat="1" applyFont="1" applyFill="1" applyBorder="1" applyAlignment="1">
      <alignment horizontal="center" vertical="center"/>
    </xf>
    <xf numFmtId="167" fontId="28" fillId="23" borderId="46" xfId="0" applyNumberFormat="1" applyFont="1" applyFill="1" applyBorder="1" applyAlignment="1">
      <alignment horizontal="center" vertical="center"/>
    </xf>
    <xf numFmtId="167"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7" fontId="24" fillId="14" borderId="46" xfId="0" applyNumberFormat="1" applyFont="1" applyFill="1" applyBorder="1"/>
    <xf numFmtId="167" fontId="24" fillId="8" borderId="46" xfId="0" applyNumberFormat="1" applyFont="1" applyFill="1" applyBorder="1"/>
    <xf numFmtId="0" fontId="24" fillId="8" borderId="46" xfId="0" applyFont="1" applyFill="1" applyBorder="1" applyAlignment="1">
      <alignment horizontal="center"/>
    </xf>
    <xf numFmtId="167" fontId="0" fillId="17" borderId="46" xfId="0" applyNumberFormat="1" applyFill="1" applyBorder="1" applyAlignment="1">
      <alignment horizontal="center" vertical="center"/>
    </xf>
    <xf numFmtId="167" fontId="0" fillId="5" borderId="46" xfId="0" applyNumberFormat="1" applyFill="1" applyBorder="1" applyAlignment="1">
      <alignment horizontal="center" vertical="center"/>
    </xf>
    <xf numFmtId="0" fontId="24" fillId="5" borderId="46" xfId="0" applyFont="1" applyFill="1" applyBorder="1" applyAlignment="1">
      <alignment horizontal="center"/>
    </xf>
    <xf numFmtId="167"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7" fontId="28" fillId="14" borderId="11" xfId="0" applyNumberFormat="1" applyFont="1" applyFill="1" applyBorder="1" applyAlignment="1">
      <alignment horizontal="center"/>
    </xf>
    <xf numFmtId="167"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7" fontId="28" fillId="24" borderId="65" xfId="0" applyNumberFormat="1" applyFont="1" applyFill="1" applyBorder="1" applyAlignment="1">
      <alignment horizontal="center"/>
    </xf>
    <xf numFmtId="167" fontId="28" fillId="24" borderId="11" xfId="0" applyNumberFormat="1" applyFont="1" applyFill="1" applyBorder="1" applyAlignment="1">
      <alignment horizontal="center"/>
    </xf>
    <xf numFmtId="167"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7" fontId="28" fillId="14" borderId="8" xfId="0" applyNumberFormat="1" applyFont="1" applyFill="1" applyBorder="1" applyAlignment="1">
      <alignment horizontal="center" vertical="center"/>
    </xf>
    <xf numFmtId="167" fontId="28" fillId="23" borderId="8" xfId="0" applyNumberFormat="1" applyFont="1" applyFill="1" applyBorder="1" applyAlignment="1">
      <alignment horizontal="center" vertical="center"/>
    </xf>
    <xf numFmtId="167"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7" fontId="24" fillId="14" borderId="8" xfId="0" applyNumberFormat="1" applyFont="1" applyFill="1" applyBorder="1"/>
    <xf numFmtId="167" fontId="24" fillId="8" borderId="8" xfId="0" applyNumberFormat="1" applyFont="1" applyFill="1" applyBorder="1"/>
    <xf numFmtId="0" fontId="24" fillId="8" borderId="8" xfId="0" applyFont="1" applyFill="1" applyBorder="1" applyAlignment="1">
      <alignment horizontal="center"/>
    </xf>
    <xf numFmtId="167" fontId="0" fillId="5" borderId="8" xfId="0" applyNumberFormat="1" applyFill="1" applyBorder="1" applyAlignment="1">
      <alignment horizontal="center" vertical="center"/>
    </xf>
    <xf numFmtId="0" fontId="24" fillId="5" borderId="8" xfId="0" applyFont="1" applyFill="1" applyBorder="1" applyAlignment="1">
      <alignment horizontal="center"/>
    </xf>
    <xf numFmtId="167"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7" fontId="28" fillId="14" borderId="47" xfId="0" applyNumberFormat="1" applyFont="1" applyFill="1" applyBorder="1" applyAlignment="1">
      <alignment horizontal="center"/>
    </xf>
    <xf numFmtId="167"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7" fontId="28" fillId="24" borderId="71" xfId="0" applyNumberFormat="1" applyFont="1" applyFill="1" applyBorder="1" applyAlignment="1">
      <alignment horizontal="center"/>
    </xf>
    <xf numFmtId="167"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7" fontId="28" fillId="24" borderId="72" xfId="0" applyNumberFormat="1" applyFont="1" applyFill="1" applyBorder="1" applyAlignment="1">
      <alignment horizontal="right"/>
    </xf>
    <xf numFmtId="0" fontId="29" fillId="5" borderId="8" xfId="0" applyFont="1" applyFill="1" applyBorder="1"/>
    <xf numFmtId="167" fontId="27" fillId="14" borderId="8" xfId="0" applyNumberFormat="1" applyFont="1" applyFill="1" applyBorder="1" applyAlignment="1">
      <alignment horizontal="center" vertical="center"/>
    </xf>
    <xf numFmtId="167" fontId="27" fillId="23" borderId="8" xfId="0" applyNumberFormat="1" applyFont="1" applyFill="1" applyBorder="1" applyAlignment="1">
      <alignment horizontal="center" vertical="center"/>
    </xf>
    <xf numFmtId="167"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7" fontId="30" fillId="14" borderId="8" xfId="0" applyNumberFormat="1" applyFont="1" applyFill="1" applyBorder="1" applyAlignment="1">
      <alignment horizontal="center" vertical="center"/>
    </xf>
    <xf numFmtId="167" fontId="30" fillId="23" borderId="8" xfId="0" applyNumberFormat="1" applyFont="1" applyFill="1" applyBorder="1" applyAlignment="1">
      <alignment horizontal="center" vertical="center"/>
    </xf>
    <xf numFmtId="167" fontId="7" fillId="0" borderId="8" xfId="5" applyNumberFormat="1" applyFont="1" applyBorder="1" applyAlignment="1">
      <alignment horizontal="center" vertical="center"/>
    </xf>
    <xf numFmtId="167"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7" fontId="30" fillId="14" borderId="46" xfId="0" applyNumberFormat="1" applyFont="1" applyFill="1" applyBorder="1" applyAlignment="1">
      <alignment horizontal="center" vertical="center"/>
    </xf>
    <xf numFmtId="167" fontId="30" fillId="23" borderId="46" xfId="0" applyNumberFormat="1" applyFont="1" applyFill="1" applyBorder="1" applyAlignment="1">
      <alignment horizontal="center" vertical="center"/>
    </xf>
    <xf numFmtId="167" fontId="0" fillId="0" borderId="46" xfId="0" applyNumberFormat="1" applyBorder="1" applyAlignment="1">
      <alignment horizontal="center" vertical="center"/>
    </xf>
    <xf numFmtId="167" fontId="7" fillId="0" borderId="46" xfId="5" applyNumberFormat="1" applyFont="1" applyBorder="1" applyAlignment="1">
      <alignment horizontal="center" vertical="center"/>
    </xf>
    <xf numFmtId="167" fontId="30" fillId="14" borderId="8" xfId="0" applyNumberFormat="1" applyFont="1" applyFill="1" applyBorder="1" applyAlignment="1">
      <alignment horizontal="center"/>
    </xf>
    <xf numFmtId="167" fontId="30" fillId="23" borderId="8" xfId="0" applyNumberFormat="1" applyFont="1" applyFill="1" applyBorder="1" applyAlignment="1">
      <alignment horizontal="center"/>
    </xf>
    <xf numFmtId="167"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7" fontId="30" fillId="14" borderId="74" xfId="0" applyNumberFormat="1" applyFont="1" applyFill="1" applyBorder="1" applyAlignment="1">
      <alignment horizontal="center" vertical="center"/>
    </xf>
    <xf numFmtId="167" fontId="30" fillId="23" borderId="74" xfId="0" applyNumberFormat="1" applyFont="1" applyFill="1" applyBorder="1" applyAlignment="1">
      <alignment horizontal="center" vertical="center"/>
    </xf>
    <xf numFmtId="167" fontId="28" fillId="14" borderId="74" xfId="0" applyNumberFormat="1" applyFont="1" applyFill="1" applyBorder="1" applyAlignment="1">
      <alignment horizontal="center" vertical="center"/>
    </xf>
    <xf numFmtId="167"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7" fontId="24" fillId="14" borderId="74" xfId="0" applyNumberFormat="1" applyFont="1" applyFill="1" applyBorder="1"/>
    <xf numFmtId="167" fontId="24" fillId="8" borderId="74" xfId="0" applyNumberFormat="1" applyFont="1" applyFill="1" applyBorder="1"/>
    <xf numFmtId="0" fontId="24" fillId="8" borderId="74" xfId="0" applyFont="1" applyFill="1" applyBorder="1" applyAlignment="1">
      <alignment horizontal="center"/>
    </xf>
    <xf numFmtId="167" fontId="0" fillId="0" borderId="74" xfId="0" applyNumberFormat="1" applyBorder="1" applyAlignment="1">
      <alignment horizontal="center" vertical="center"/>
    </xf>
    <xf numFmtId="0" fontId="24" fillId="5" borderId="74" xfId="0" applyFont="1" applyFill="1" applyBorder="1" applyAlignment="1">
      <alignment horizontal="center"/>
    </xf>
    <xf numFmtId="167"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5" fontId="3" fillId="3" borderId="0" xfId="3" applyNumberFormat="1" applyFont="1" applyFill="1" applyAlignment="1">
      <alignment horizontal="center" vertical="center" wrapText="1"/>
    </xf>
    <xf numFmtId="43"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69" fontId="0" fillId="0" borderId="0" xfId="2" applyNumberFormat="1" applyFont="1" applyAlignment="1">
      <alignment horizontal="center" vertical="center"/>
    </xf>
    <xf numFmtId="170" fontId="0" fillId="0" borderId="0" xfId="0" applyNumberFormat="1" applyAlignment="1">
      <alignment horizontal="center" vertical="center"/>
    </xf>
    <xf numFmtId="169" fontId="0" fillId="0" borderId="0" xfId="2" applyNumberFormat="1" applyFont="1" applyFill="1" applyBorder="1" applyAlignment="1">
      <alignment horizontal="center"/>
    </xf>
    <xf numFmtId="170"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43" fontId="0" fillId="0" borderId="0" xfId="1" applyFont="1" applyAlignment="1">
      <alignment horizontal="center"/>
    </xf>
    <xf numFmtId="43" fontId="0" fillId="0" borderId="0" xfId="1" applyFont="1" applyFill="1" applyBorder="1" applyAlignment="1">
      <alignment horizontal="left" vertical="center"/>
    </xf>
    <xf numFmtId="43" fontId="0" fillId="0" borderId="0" xfId="1" applyFont="1" applyBorder="1" applyAlignment="1">
      <alignment horizontal="left" vertical="center"/>
    </xf>
    <xf numFmtId="43" fontId="0" fillId="0" borderId="0" xfId="1" applyFont="1" applyFill="1" applyBorder="1" applyAlignment="1">
      <alignment horizontal="right" vertical="center"/>
    </xf>
    <xf numFmtId="43" fontId="0" fillId="0" borderId="0" xfId="1" applyFont="1" applyBorder="1" applyAlignment="1">
      <alignment horizontal="right" vertical="center"/>
    </xf>
    <xf numFmtId="2" fontId="0" fillId="0" borderId="0" xfId="1" applyNumberFormat="1" applyFont="1" applyBorder="1" applyAlignment="1">
      <alignment horizontal="right" vertical="center"/>
    </xf>
    <xf numFmtId="1" fontId="5" fillId="0" borderId="0" xfId="4" applyNumberFormat="1" applyFont="1" applyFill="1" applyBorder="1" applyAlignment="1">
      <alignment horizontal="center"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43" fontId="3" fillId="3" borderId="0" xfId="1" applyFont="1" applyFill="1" applyBorder="1" applyAlignment="1">
      <alignment horizontal="right" vertical="center" wrapText="1"/>
    </xf>
    <xf numFmtId="43"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69" fontId="0" fillId="0" borderId="0" xfId="0" applyNumberFormat="1" applyAlignment="1">
      <alignment horizontal="center" vertical="center"/>
    </xf>
    <xf numFmtId="0" fontId="0" fillId="0" borderId="0" xfId="0" applyAlignment="1">
      <alignment horizontal="left" vertical="center"/>
    </xf>
    <xf numFmtId="170"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169" fontId="1" fillId="16" borderId="0" xfId="0" applyNumberFormat="1" applyFont="1" applyFill="1" applyAlignment="1">
      <alignment horizontal="center" vertical="center"/>
    </xf>
    <xf numFmtId="1" fontId="0" fillId="16" borderId="0" xfId="0" applyNumberFormat="1" applyFill="1" applyAlignment="1">
      <alignment horizontal="left" vertical="center"/>
    </xf>
    <xf numFmtId="10" fontId="0" fillId="0" borderId="0" xfId="2" applyNumberFormat="1" applyFont="1" applyBorder="1" applyAlignment="1">
      <alignment vertical="center"/>
    </xf>
    <xf numFmtId="0" fontId="0" fillId="0" borderId="0" xfId="0" applyAlignment="1">
      <alignment horizontal="left" vertical="center" wrapText="1"/>
    </xf>
    <xf numFmtId="3" fontId="0" fillId="0" borderId="0" xfId="0" applyNumberFormat="1" applyAlignment="1">
      <alignment horizontal="center" vertical="center"/>
    </xf>
    <xf numFmtId="0" fontId="34" fillId="0" borderId="0" xfId="0" applyFont="1" applyAlignment="1">
      <alignment horizontal="left" vertical="center"/>
    </xf>
    <xf numFmtId="20" fontId="0" fillId="0" borderId="0" xfId="0" applyNumberFormat="1" applyAlignment="1">
      <alignment vertical="center"/>
    </xf>
    <xf numFmtId="20" fontId="0" fillId="0" borderId="0" xfId="0" applyNumberFormat="1" applyAlignment="1">
      <alignment horizontal="right" vertical="center"/>
    </xf>
    <xf numFmtId="1" fontId="0" fillId="0" borderId="0" xfId="0" applyNumberFormat="1" applyAlignment="1">
      <alignment vertical="center"/>
    </xf>
    <xf numFmtId="2" fontId="0" fillId="0" borderId="0" xfId="0" applyNumberFormat="1" applyAlignment="1">
      <alignment horizontal="right" vertical="center"/>
    </xf>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169" fontId="0" fillId="7" borderId="0" xfId="2" applyNumberFormat="1" applyFont="1" applyFill="1" applyBorder="1" applyAlignment="1">
      <alignment horizontal="center" vertical="center"/>
    </xf>
    <xf numFmtId="0" fontId="6" fillId="28" borderId="0" xfId="5" applyFill="1" applyAlignment="1">
      <alignment horizontal="left" vertical="center"/>
    </xf>
    <xf numFmtId="0" fontId="0" fillId="0" borderId="0" xfId="0" applyAlignment="1">
      <alignment horizontal="right" vertical="center"/>
    </xf>
    <xf numFmtId="0" fontId="6" fillId="0" borderId="0" xfId="5" applyAlignment="1">
      <alignment horizontal="left" vertical="center"/>
    </xf>
    <xf numFmtId="169" fontId="0" fillId="7" borderId="0" xfId="2" applyNumberFormat="1" applyFont="1" applyFill="1" applyAlignment="1">
      <alignment horizontal="center" vertical="center"/>
    </xf>
    <xf numFmtId="2" fontId="0" fillId="7" borderId="0" xfId="0" applyNumberFormat="1" applyFill="1" applyAlignment="1">
      <alignment horizontal="center" vertical="center"/>
    </xf>
    <xf numFmtId="2" fontId="0" fillId="7" borderId="0" xfId="0" applyNumberFormat="1" applyFill="1" applyAlignment="1">
      <alignment horizontal="right" vertical="center"/>
    </xf>
    <xf numFmtId="1" fontId="0" fillId="0" borderId="0" xfId="0" applyNumberFormat="1" applyAlignment="1">
      <alignment horizontal="center"/>
    </xf>
    <xf numFmtId="20" fontId="0" fillId="0" borderId="0" xfId="0" applyNumberFormat="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43" fontId="0" fillId="0" borderId="8" xfId="1" applyFont="1" applyBorder="1" applyAlignment="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xf numFmtId="0" fontId="6" fillId="0" borderId="0" xfId="5" applyFill="1" applyAlignment="1">
      <alignment horizontal="center" vertical="center"/>
    </xf>
    <xf numFmtId="0" fontId="0" fillId="7" borderId="0" xfId="0" applyFill="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88">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
      <numFmt numFmtId="171"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22"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20"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25" formatCode="hh:mm"/>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70"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none">
          <fgColor indexed="64"/>
          <bgColor indexed="65"/>
        </patternFill>
      </fill>
      <alignment horizontal="center" vertical="bottom"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69" formatCode="0.0%"/>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6"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7"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border>
        <bottom style="dotted">
          <color theme="2" tint="-9.9917600024414813E-2"/>
        </bottom>
      </border>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64"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9"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5"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0"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border outline="0">
        <top style="dotted">
          <color auto="1"/>
        </top>
      </border>
    </dxf>
    <dxf>
      <alignment horizontal="center" vertical="center" textRotation="0" wrapText="0" indent="0" justifyLastLine="0" shrinkToFit="0" readingOrder="0"/>
    </dxf>
    <dxf>
      <border outline="0">
        <left style="dotted">
          <color auto="1"/>
        </left>
        <right style="dotted">
          <color auto="1"/>
        </right>
        <top style="dotted">
          <color auto="1"/>
        </top>
        <bottom style="dotted">
          <color auto="1"/>
        </bottom>
      </border>
    </dxf>
    <dxf>
      <border outline="0">
        <bottom style="dotted">
          <color auto="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 #,##0.00_ ;_ * \-#,##0.00_ ;_ * &quot;-&quot;??_ ;_ @_ "/>
    </dxf>
  </dxfs>
  <tableStyles count="0" defaultTableStyle="TableStyleMedium2" defaultPivotStyle="PivotStyleLight16"/>
  <colors>
    <mruColors>
      <color rgb="FF8BE58B"/>
      <color rgb="FFB8EB95"/>
      <color rgb="FFC2E59B"/>
      <color rgb="FFD6EEBC"/>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7.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 10 July 25.xlsx]Analytices!PivotTable3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General</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c:v>0</c:v>
                </c:pt>
                <c:pt idx="78">
                  <c:v>4.9000000000000012</c:v>
                </c:pt>
                <c:pt idx="79">
                  <c:v>1.5833333333333357</c:v>
                </c:pt>
                <c:pt idx="80">
                  <c:v>9.1666666666666679</c:v>
                </c:pt>
                <c:pt idx="81">
                  <c:v>46.416666666666664</c:v>
                </c:pt>
                <c:pt idx="82">
                  <c:v>69.316666666666649</c:v>
                </c:pt>
                <c:pt idx="83">
                  <c:v>12.083333333333332</c:v>
                </c:pt>
                <c:pt idx="84">
                  <c:v>7.5166666666666666</c:v>
                </c:pt>
                <c:pt idx="85">
                  <c:v>8.0499999999999972</c:v>
                </c:pt>
                <c:pt idx="86">
                  <c:v>20.916666666666664</c:v>
                </c:pt>
                <c:pt idx="87">
                  <c:v>97.38333333333334</c:v>
                </c:pt>
                <c:pt idx="88">
                  <c:v>751.81666666666695</c:v>
                </c:pt>
                <c:pt idx="89">
                  <c:v>6.5</c:v>
                </c:pt>
                <c:pt idx="90">
                  <c:v>141.13333333333341</c:v>
                </c:pt>
                <c:pt idx="91">
                  <c:v>1141.2666666666657</c:v>
                </c:pt>
                <c:pt idx="92">
                  <c:v>626.25000000000034</c:v>
                </c:pt>
                <c:pt idx="93">
                  <c:v>27.383055555555551</c:v>
                </c:pt>
                <c:pt idx="94">
                  <c:v>19.45</c:v>
                </c:pt>
                <c:pt idx="95">
                  <c:v>37.866666666666667</c:v>
                </c:pt>
                <c:pt idx="96">
                  <c:v>7.5499999999999989</c:v>
                </c:pt>
                <c:pt idx="97">
                  <c:v>0.61666666666666714</c:v>
                </c:pt>
                <c:pt idx="98">
                  <c:v>6.6666666666666679</c:v>
                </c:pt>
                <c:pt idx="99">
                  <c:v>28.116666666666667</c:v>
                </c:pt>
                <c:pt idx="100">
                  <c:v>8.716666666666665</c:v>
                </c:pt>
                <c:pt idx="101">
                  <c:v>1528.4150000000009</c:v>
                </c:pt>
                <c:pt idx="102">
                  <c:v>3511.6666666666551</c:v>
                </c:pt>
                <c:pt idx="103">
                  <c:v>61.566666666666663</c:v>
                </c:pt>
                <c:pt idx="104">
                  <c:v>86.966666666666669</c:v>
                </c:pt>
                <c:pt idx="105">
                  <c:v>3.3166666666666695</c:v>
                </c:pt>
                <c:pt idx="106">
                  <c:v>2.4000000000000021</c:v>
                </c:pt>
                <c:pt idx="107">
                  <c:v>16.766666666666662</c:v>
                </c:pt>
                <c:pt idx="108">
                  <c:v>2.9000000000000004</c:v>
                </c:pt>
                <c:pt idx="109">
                  <c:v>37.049999999999997</c:v>
                </c:pt>
                <c:pt idx="110">
                  <c:v>2.9333333333333358</c:v>
                </c:pt>
                <c:pt idx="111">
                  <c:v>326.2166666666667</c:v>
                </c:pt>
                <c:pt idx="112">
                  <c:v>4.5666666666666664</c:v>
                </c:pt>
                <c:pt idx="113">
                  <c:v>25.150000000000006</c:v>
                </c:pt>
                <c:pt idx="114">
                  <c:v>28.6</c:v>
                </c:pt>
                <c:pt idx="115">
                  <c:v>7.9666666666666686</c:v>
                </c:pt>
                <c:pt idx="116">
                  <c:v>85.916666666666714</c:v>
                </c:pt>
                <c:pt idx="117">
                  <c:v>3.4833333333333343</c:v>
                </c:pt>
                <c:pt idx="118">
                  <c:v>0.4499999999999984</c:v>
                </c:pt>
                <c:pt idx="119">
                  <c:v>9.0500000000000007</c:v>
                </c:pt>
                <c:pt idx="120">
                  <c:v>6.5000000000000009</c:v>
                </c:pt>
                <c:pt idx="121">
                  <c:v>4.7666666666666675</c:v>
                </c:pt>
                <c:pt idx="122">
                  <c:v>230.83333333333337</c:v>
                </c:pt>
                <c:pt idx="123">
                  <c:v>4.6999999999999993</c:v>
                </c:pt>
                <c:pt idx="124">
                  <c:v>2.3833333333333355</c:v>
                </c:pt>
                <c:pt idx="125">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General</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c:v>1</c:v>
                </c:pt>
                <c:pt idx="79">
                  <c:v>1</c:v>
                </c:pt>
                <c:pt idx="80">
                  <c:v>3</c:v>
                </c:pt>
                <c:pt idx="81">
                  <c:v>15</c:v>
                </c:pt>
                <c:pt idx="82">
                  <c:v>12</c:v>
                </c:pt>
                <c:pt idx="83">
                  <c:v>1</c:v>
                </c:pt>
                <c:pt idx="84">
                  <c:v>1</c:v>
                </c:pt>
                <c:pt idx="85">
                  <c:v>1</c:v>
                </c:pt>
                <c:pt idx="86">
                  <c:v>3</c:v>
                </c:pt>
                <c:pt idx="87">
                  <c:v>27</c:v>
                </c:pt>
                <c:pt idx="88">
                  <c:v>49</c:v>
                </c:pt>
                <c:pt idx="89">
                  <c:v>2</c:v>
                </c:pt>
                <c:pt idx="90">
                  <c:v>74</c:v>
                </c:pt>
                <c:pt idx="91">
                  <c:v>151</c:v>
                </c:pt>
                <c:pt idx="92">
                  <c:v>174</c:v>
                </c:pt>
                <c:pt idx="93">
                  <c:v>8</c:v>
                </c:pt>
                <c:pt idx="94">
                  <c:v>2</c:v>
                </c:pt>
                <c:pt idx="95">
                  <c:v>19</c:v>
                </c:pt>
                <c:pt idx="96">
                  <c:v>4</c:v>
                </c:pt>
                <c:pt idx="97">
                  <c:v>1</c:v>
                </c:pt>
                <c:pt idx="98">
                  <c:v>1</c:v>
                </c:pt>
                <c:pt idx="99">
                  <c:v>8</c:v>
                </c:pt>
                <c:pt idx="100">
                  <c:v>5</c:v>
                </c:pt>
                <c:pt idx="101">
                  <c:v>65</c:v>
                </c:pt>
                <c:pt idx="102">
                  <c:v>148</c:v>
                </c:pt>
                <c:pt idx="103">
                  <c:v>6</c:v>
                </c:pt>
                <c:pt idx="104">
                  <c:v>5</c:v>
                </c:pt>
                <c:pt idx="105">
                  <c:v>13</c:v>
                </c:pt>
                <c:pt idx="106">
                  <c:v>1</c:v>
                </c:pt>
                <c:pt idx="107">
                  <c:v>6</c:v>
                </c:pt>
                <c:pt idx="108">
                  <c:v>1</c:v>
                </c:pt>
                <c:pt idx="109">
                  <c:v>5</c:v>
                </c:pt>
                <c:pt idx="110">
                  <c:v>2</c:v>
                </c:pt>
                <c:pt idx="111">
                  <c:v>16</c:v>
                </c:pt>
                <c:pt idx="112">
                  <c:v>1</c:v>
                </c:pt>
                <c:pt idx="113">
                  <c:v>4</c:v>
                </c:pt>
                <c:pt idx="114">
                  <c:v>3</c:v>
                </c:pt>
                <c:pt idx="115">
                  <c:v>2</c:v>
                </c:pt>
                <c:pt idx="116">
                  <c:v>34</c:v>
                </c:pt>
                <c:pt idx="117">
                  <c:v>2</c:v>
                </c:pt>
                <c:pt idx="118">
                  <c:v>1</c:v>
                </c:pt>
                <c:pt idx="119">
                  <c:v>3</c:v>
                </c:pt>
                <c:pt idx="120">
                  <c:v>3</c:v>
                </c:pt>
                <c:pt idx="121">
                  <c:v>1</c:v>
                </c:pt>
                <c:pt idx="122">
                  <c:v>50</c:v>
                </c:pt>
                <c:pt idx="123">
                  <c:v>1</c:v>
                </c:pt>
                <c:pt idx="124">
                  <c:v>2</c:v>
                </c:pt>
                <c:pt idx="125">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277548</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14769</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177210</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339652</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file:///C:\Users\42050\Desktop\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8">
    <format dxfId="387">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86">
      <pivotArea type="all" dataOnly="0" outline="0" fieldPosition="0"/>
    </format>
    <format dxfId="385">
      <pivotArea outline="0" collapsedLevelsAreSubtotals="1" fieldPosition="0"/>
    </format>
    <format dxfId="384">
      <pivotArea field="11" type="button" dataOnly="0" labelOnly="1" outline="0" axis="axisRow" fieldPosition="0"/>
    </format>
    <format dxfId="383">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2">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1">
      <pivotArea dataOnly="0" labelOnly="1" grandRow="1" outline="0" fieldPosition="0"/>
    </format>
    <format dxfId="380">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379" totalsRowDxfId="376" headerRowBorderDxfId="378" tableBorderDxfId="377" totalsRowBorderDxfId="375">
  <autoFilter ref="A1:AS369" xr:uid="{3B203726-2095-49D8-A694-A659B4A14C0A}"/>
  <tableColumns count="45">
    <tableColumn id="1" xr3:uid="{AC3ABD98-75D2-4582-B623-8D21C5F487DB}" name="Date" dataDxfId="374" totalsRowDxfId="373" dataCellStyle="Normal 26"/>
    <tableColumn id="2" xr3:uid="{AE12600E-6A58-426A-AE7A-0EA1D6D50FEB}" name="Financial Year" dataDxfId="372" totalsRowDxfId="371" dataCellStyle="Normal 26">
      <calculatedColumnFormula>YEAR(Table13[[#This Row],[Date]])+IF(MONTH(Table13[[#This Row],[Date]])&gt;=4,1,0)</calculatedColumnFormula>
    </tableColumn>
    <tableColumn id="3" xr3:uid="{3B7DF0EB-73EF-4B84-A0F0-967A6567AAD8}" name="Calendar Year" dataDxfId="370" totalsRowDxfId="369" dataCellStyle="Normal 26">
      <calculatedColumnFormula>YEAR(Table13[[#This Row],[Date]])</calculatedColumnFormula>
    </tableColumn>
    <tableColumn id="4" xr3:uid="{33EE5C98-2106-4920-9087-176A2E9499F5}" name="Month Year" dataDxfId="368" totalsRowDxfId="367" dataCellStyle="Normal 26">
      <calculatedColumnFormula>Table13[[#This Row],[Date]]-DAY(Table13[[#This Row],[Date]])+1</calculatedColumnFormula>
    </tableColumn>
    <tableColumn id="5" xr3:uid="{309D9189-9689-4C56-90B1-6A720ECABFE7}" name="Days" dataDxfId="366" totalsRowDxfId="365" dataCellStyle="Normal 26">
      <calculatedColumnFormula>DAY(EOMONTH(A2,0))</calculatedColumnFormula>
    </tableColumn>
    <tableColumn id="6" xr3:uid="{A40C93A6-18E6-4FFF-9809-94F158C9A482}" name="Operating Hours" dataDxfId="364" dataCellStyle="Percent 43"/>
    <tableColumn id="7" xr3:uid="{817A90A3-B44C-4B1C-A295-5BE26E74D036}" name="GHI-UP (KWh/m2)" dataDxfId="363" totalsRowDxfId="362" dataCellStyle="Percent 43"/>
    <tableColumn id="8" xr3:uid="{C3004E13-246D-40AE-ABA4-084A45E50F25}" name="GHI-Down(KWh/m2)" dataDxfId="361" totalsRowDxfId="360" dataCellStyle="Percent 43"/>
    <tableColumn id="9" xr3:uid="{0572E0E2-532A-434A-B608-A2CDF5FDB89B}" name="POA-UP(KWh/m2)" dataDxfId="359" totalsRowDxfId="358" dataCellStyle="Percent 43"/>
    <tableColumn id="10" xr3:uid="{B72B660B-30B6-481B-9EB4-5101A661AE6C}" name="POA-Down(KWh/m2)" dataDxfId="357" totalsRowDxfId="356" dataCellStyle="Percent 43"/>
    <tableColumn id="11" xr3:uid="{8E29DBE0-F45A-411B-B249-A73F226D2AEB}" name="Amb_Temp(°C)" dataDxfId="355" totalsRowDxfId="354" dataCellStyle="Percent 43"/>
    <tableColumn id="12" xr3:uid="{4E5D4AFC-3F73-460A-B892-44B44D34BF84}" name="Mod_Temp(°C)" dataDxfId="353" totalsRowDxfId="352" dataCellStyle="Percent 43"/>
    <tableColumn id="13" xr3:uid="{6619600E-B5E0-4203-9262-A709569C0B9C}" name="WS_Avg(m/s)" dataDxfId="351" totalsRowDxfId="350" dataCellStyle="Percent 43">
      <calculatedColumnFormula>IFERROR(_xlfn.XLOOKUP($A2,Input_Raw!$A:$A,Input_Raw!CG:CG),"")</calculatedColumnFormula>
    </tableColumn>
    <tableColumn id="14" xr3:uid="{739A885C-D4EA-4114-B4EA-D923ADBD0003}" name="WS_Max(m/s)" dataDxfId="349" totalsRowDxfId="348" dataCellStyle="Percent 43">
      <calculatedColumnFormula>IFERROR(_xlfn.XLOOKUP($A2,Input_Raw!$A:$A,Input_Raw!CH:CH),"")</calculatedColumnFormula>
    </tableColumn>
    <tableColumn id="15" xr3:uid="{03B07319-2335-4615-94A5-348B7323ECEE}" name="PA(%)" dataDxfId="347" totalsRowDxfId="346" dataCellStyle="Percent 43">
      <calculatedColumnFormula>IFERROR(P2*Q2,"")</calculatedColumnFormula>
    </tableColumn>
    <tableColumn id="16" xr3:uid="{9F5EFF93-DF1A-499F-A105-3EEA358BFB94}" name="MA (%)" dataDxfId="345" totalsRowDxfId="344" dataCellStyle="Percent 43">
      <calculatedColumnFormula>IFERROR(1-SUMIF(WTG_BD!$F:$F,$A2,WTG_BD!$AA:$AA)/($AA2+SUMIF(WTG_BD!$F:$F,$A2,WTG_BD!$AA:$AA)),"")</calculatedColumnFormula>
    </tableColumn>
    <tableColumn id="17" xr3:uid="{0CBB892E-409F-4D49-9600-9AF3544321E2}" name="IGA (%)" dataDxfId="343" dataCellStyle="Percent 43">
      <calculatedColumnFormula>IFERROR(1-SUMIF(IGA_BD!$F:$F,$A2,IGA_BD!$V:$V)/($AA2+SUMIF(IGA_BD!$F:$F,$A2,IGA_BD!$V:$V)),"")</calculatedColumnFormula>
    </tableColumn>
    <tableColumn id="18" xr3:uid="{3FC07FA2-E934-4C5C-9FCD-520F0458DEA5}" name="EGA(%)" dataDxfId="342" dataCellStyle="Percent">
      <calculatedColumnFormula>IFERROR(1-SUMIF(Grid_BD!$F:$F,$A2,Grid_BD!$X:$X)/($AA2+SUMIF(Grid_BD!$F:$F,$A2,Grid_BD!$X:$X)),"")</calculatedColumnFormula>
    </tableColumn>
    <tableColumn id="19" xr3:uid="{CCF758F8-D160-4388-A69A-657F596F26FC}" name="EMA (%)" dataDxfId="341" totalsRowDxfId="340"/>
    <tableColumn id="20" xr3:uid="{CC370C35-7BF1-48A2-A6C8-5F9A479115CC}" name="TA (%)" dataDxfId="339" totalsRowDxfId="338" dataCellStyle="Percent 43"/>
    <tableColumn id="21" xr3:uid="{ACBCAA42-6639-4255-A2E1-C528E248ECAD}" name="PR(%)" dataDxfId="337" totalsRowDxfId="336" dataCellStyle="Percent 43"/>
    <tableColumn id="22" xr3:uid="{F5326693-37E3-47B2-8E2B-E9FC9155A0AB}" name="WPR(%)" dataDxfId="335" totalsRowDxfId="334"/>
    <tableColumn id="23" xr3:uid="{5B9629D4-3C0B-4D5E-ACD1-944F977B15BB}" name="CUF(%)" dataDxfId="333" totalsRowDxfId="332" dataCellStyle="Percent 43">
      <calculatedColumnFormula>IFERROR(Table13[[#This Row],[Mtr_Net_Exp (KWh)]]/(24*AR2*1000),"")</calculatedColumnFormula>
    </tableColumn>
    <tableColumn id="24" xr3:uid="{3E0DE83D-827F-46C8-82DE-E57A81F3BD1A}" name="Gen_Exp (kWh)" dataDxfId="331" totalsRowDxfId="330">
      <calculatedColumnFormula>IFERROR(_xlfn.XLOOKUP($A2,Input_Raw!$A:$A,Input_Raw!$CF:$CF),"")</calculatedColumnFormula>
    </tableColumn>
    <tableColumn id="25" xr3:uid="{C4A6016D-E849-4610-89B5-AE52CCA585F0}" name="Mtr_Export (kWh)" dataDxfId="329" totalsRowDxfId="328">
      <calculatedColumnFormula>IFERROR(_xlfn.XLOOKUP($A2,Input_Raw!$A:$A,Input_Raw!$CZ:$CZ),"")</calculatedColumnFormula>
    </tableColumn>
    <tableColumn id="26" xr3:uid="{DD8F3C03-6E56-4C0B-8192-7121DE5F80BE}" name="Mtr_Import (kWh)" dataDxfId="327" totalsRowDxfId="326">
      <calculatedColumnFormula>IFERROR(_xlfn.XLOOKUP($A2,Input_Raw!$A:$A,Input_Raw!$DA:$DA),"")</calculatedColumnFormula>
    </tableColumn>
    <tableColumn id="27" xr3:uid="{E8744429-ED52-4FD6-9D6E-93494DD7676D}" name="Mtr_Net_Exp (KWh)" dataDxfId="325" totalsRowDxfId="324">
      <calculatedColumnFormula>IFERROR(Y2-Z2,"")</calculatedColumnFormula>
    </tableColumn>
    <tableColumn id="28" xr3:uid="{5351EE1B-C5E5-45F9-8A3C-3090EB4F8F00}" name="Operational Capacity (MW)" dataDxfId="323" totalsRowDxfId="322">
      <calculatedColumnFormula>IFERROR(_xlfn.XLOOKUP($A2,Input_Raw!$A:$A,Input_Raw!$DG:$DG),"")</calculatedColumnFormula>
    </tableColumn>
    <tableColumn id="29" xr3:uid="{19E214DF-B9EC-4D16-9BF9-60E4FBE2688A}" name="Bugt_Resource" dataDxfId="321" totalsRowDxfId="320">
      <calculatedColumnFormula>IFERROR(_xlfn.XLOOKUP($D2,'Modelling New'!$D:$D,'Modelling New'!$J:$J),"")</calculatedColumnFormula>
    </tableColumn>
    <tableColumn id="30" xr3:uid="{1FFAB7FA-C3DF-44B5-B1F6-7BF5CA55DA8E}" name="Bugt_Energy" dataDxfId="319">
      <calculatedColumnFormula>IFERROR(_xlfn.XLOOKUP($D2,'Modelling New'!$D:$D,'Modelling New'!$T:$T)*1000,"")</calculatedColumnFormula>
    </tableColumn>
    <tableColumn id="43" xr3:uid="{2CBF4F34-C61C-44F4-A343-1FCD272EB855}" name="Bugt PR" dataDxfId="318" totalsRowDxfId="317" dataCellStyle="Percent 43"/>
    <tableColumn id="42" xr3:uid="{3D468F67-441F-4B82-98D0-CE59D982CC40}" name="Bugt CUF" dataDxfId="316" totalsRowDxfId="315" dataCellStyle="Percent 43">
      <calculatedColumnFormula>IFERROR(_xlfn.XLOOKUP($D2,'Modelling New'!$D:$D,'Modelling New'!$W:$W),"")</calculatedColumnFormula>
    </tableColumn>
    <tableColumn id="31" xr3:uid="{575C0A5C-4326-4C28-A3A1-12CD36E489EF}" name="Bugt_PA" dataDxfId="314" totalsRowDxfId="313" dataCellStyle="Percent 43">
      <calculatedColumnFormula>IFERROR(_xlfn.XLOOKUP($D2,'Modelling New'!$D:$D,'Modelling New'!$AE:$AE),"")</calculatedColumnFormula>
    </tableColumn>
    <tableColumn id="32" xr3:uid="{AB86F7B4-46F2-48EA-8C0D-71A214CA26A9}" name="Bugt_EGA" dataDxfId="312" totalsRowDxfId="311" dataCellStyle="Percent 43">
      <calculatedColumnFormula>IFERROR(_xlfn.XLOOKUP($D2,'Modelling New'!$D:$D,'Modelling New'!$AF:$AF),"")</calculatedColumnFormula>
    </tableColumn>
    <tableColumn id="33" xr3:uid="{D44A5CAE-7ED1-4A93-BFEF-E6B04AFA6F97}" name="Expected Energy" dataDxfId="310" totalsRowDxfId="309">
      <calculatedColumnFormula>IFERROR(_xlfn.XLOOKUP($A2,Input_Raw!$A:$A,Input_Raw!$DE:$DE),"")</calculatedColumnFormula>
    </tableColumn>
    <tableColumn id="34" xr3:uid="{C32C7F92-FD11-4B0C-9BF8-3FAC460BEA06}" name="Actual Energy WPR" dataDxfId="308" totalsRowDxfId="307"/>
    <tableColumn id="35" xr3:uid="{896B94FF-779A-4C29-80B0-77D7E810FB01}" name="RA (%)" dataDxfId="306" totalsRowDxfId="305"/>
    <tableColumn id="36" xr3:uid="{5239203F-BCB7-4E84-941B-2A28FADB596A}" name="Mod Clean Dry (Num)" dataDxfId="304" totalsRowDxfId="303"/>
    <tableColumn id="37" xr3:uid="{9A55FF03-0C92-4807-A3C0-AA7BB3E1E678}" name="Mod Clean Wet (Num)" dataDxfId="302" totalsRowDxfId="301"/>
    <tableColumn id="38" xr3:uid="{BFE39E7D-94ED-40BE-BD0E-A6834D70844D}" name="Line Loss(%)" dataDxfId="300" totalsRowDxfId="299" dataCellStyle="Percent">
      <calculatedColumnFormula>IFERROR(_xlfn.XLOOKUP($A2,Input_Raw!$A:$A,Input_Raw!$DB:$DB),"")</calculatedColumnFormula>
    </tableColumn>
    <tableColumn id="39" xr3:uid="{6F2E99AC-3E10-4847-80B1-E454DF7A5317}" name="Reactive Power (%)" dataDxfId="298" dataCellStyle="Percent 43">
      <calculatedColumnFormula>IFERROR((_xlfn.XLOOKUP($A2,'WTG Reactive Power'!$A:$A,'WTG Reactive Power'!$AR:$AR))/X2/1000,"")</calculatedColumnFormula>
    </tableColumn>
    <tableColumn id="40" xr3:uid="{94EF6993-3780-4013-B832-4050720A56E9}" name="Bugt Line loss (%) (Wind)" dataDxfId="297" totalsRowDxfId="296" dataCellStyle="Percent 43">
      <calculatedColumnFormula>IFERROR(_xlfn.XLOOKUP($D2,'Modelling New'!$D:$D,'Modelling New'!$AK:$AK),"")</calculatedColumnFormula>
    </tableColumn>
    <tableColumn id="41" xr3:uid="{ADCBE4A1-5D0E-4F97-9881-BD238E97EBC7}" name="Bugt Reactive Power (%) (Wind)" dataDxfId="295" totalsRowDxfId="294" dataCellStyle="Percent 43">
      <calculatedColumnFormula>IFERROR(_xlfn.XLOOKUP($D2,'Modelling New'!$D:$D,'Modelling New'!$AL:$AL),"")</calculatedColumnFormula>
    </tableColumn>
    <tableColumn id="44" xr3:uid="{D081797F-6A13-4377-AD22-D00F4F3F47B8}" name="Bugt Capacity" dataDxfId="293" totalsRowDxfId="292">
      <calculatedColumnFormula>IFERROR(_xlfn.XLOOKUP($D2,'Modelling New'!$D:$D,'Modelling New'!$N:$N),"")</calculatedColumnFormula>
    </tableColumn>
    <tableColumn id="45" xr3:uid="{2141F03A-98E6-4E7F-A56D-72C24C630C9C}" name="CC*Bugt" totalsRowDxfId="29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290" dataDxfId="288" headerRowBorderDxfId="289" tableBorderDxfId="287" totalsRowBorderDxfId="286">
  <tableColumns count="112">
    <tableColumn id="5" xr3:uid="{00000000-0010-0000-0100-000005000000}" name="Date" dataDxfId="285"/>
    <tableColumn id="1" xr3:uid="{00000000-0010-0000-0100-000001000000}" name="Finacial Year" dataDxfId="284">
      <calculatedColumnFormula>YEAR([1]!Input_Raw[[#This Row],[Date]])+IF(MONTH([1]!Input_Raw[[#This Row],[Date]])&gt;=4,1,0)</calculatedColumnFormula>
    </tableColumn>
    <tableColumn id="2" xr3:uid="{00000000-0010-0000-0100-000002000000}" name="Calendor Year" dataDxfId="283">
      <calculatedColumnFormula>YEAR([1]!Input_Raw[[#This Row],[Date]])</calculatedColumnFormula>
    </tableColumn>
    <tableColumn id="3" xr3:uid="{00000000-0010-0000-0100-000003000000}" name="Month Year" dataDxfId="282">
      <calculatedColumnFormula>A5-DAY(A5)+1</calculatedColumnFormula>
    </tableColumn>
    <tableColumn id="4" xr3:uid="{00000000-0010-0000-0100-000004000000}" name="Days" dataDxfId="281">
      <calculatedColumnFormula>DAY(EOMONTH([1]!Input_Raw[[#This Row],[Date]],0))</calculatedColumnFormula>
    </tableColumn>
    <tableColumn id="6" xr3:uid="{00000000-0010-0000-0100-000006000000}" name="G01" dataDxfId="280"/>
    <tableColumn id="7" xr3:uid="{00000000-0010-0000-0100-000007000000}" name="G02" dataDxfId="279"/>
    <tableColumn id="8" xr3:uid="{00000000-0010-0000-0100-000008000000}" name="G03" dataDxfId="278"/>
    <tableColumn id="9" xr3:uid="{00000000-0010-0000-0100-000009000000}" name="G04" dataDxfId="277"/>
    <tableColumn id="10" xr3:uid="{00000000-0010-0000-0100-00000A000000}" name="G05" dataDxfId="276"/>
    <tableColumn id="11" xr3:uid="{00000000-0010-0000-0100-00000B000000}" name="G06" dataDxfId="275"/>
    <tableColumn id="12" xr3:uid="{00000000-0010-0000-0100-00000C000000}" name="G07" dataDxfId="274"/>
    <tableColumn id="13" xr3:uid="{00000000-0010-0000-0100-00000D000000}" name="G08" dataDxfId="273"/>
    <tableColumn id="14" xr3:uid="{00000000-0010-0000-0100-00000E000000}" name="G09" dataDxfId="272"/>
    <tableColumn id="15" xr3:uid="{00000000-0010-0000-0100-00000F000000}" name="G10" dataDxfId="271"/>
    <tableColumn id="16" xr3:uid="{00000000-0010-0000-0100-000010000000}" name="G11" dataDxfId="270"/>
    <tableColumn id="17" xr3:uid="{00000000-0010-0000-0100-000011000000}" name="G12" dataDxfId="269"/>
    <tableColumn id="18" xr3:uid="{00000000-0010-0000-0100-000012000000}" name="G13" dataDxfId="268"/>
    <tableColumn id="19" xr3:uid="{00000000-0010-0000-0100-000013000000}" name="G14" dataDxfId="267"/>
    <tableColumn id="20" xr3:uid="{00000000-0010-0000-0100-000014000000}" name="G15" dataDxfId="266"/>
    <tableColumn id="21" xr3:uid="{00000000-0010-0000-0100-000015000000}" name="G16" dataDxfId="265"/>
    <tableColumn id="22" xr3:uid="{00000000-0010-0000-0100-000016000000}" name="G17" dataDxfId="264"/>
    <tableColumn id="23" xr3:uid="{00000000-0010-0000-0100-000017000000}" name="G18" dataDxfId="263"/>
    <tableColumn id="24" xr3:uid="{00000000-0010-0000-0100-000018000000}" name="G19" dataDxfId="262"/>
    <tableColumn id="25" xr3:uid="{00000000-0010-0000-0100-000019000000}" name="G20" dataDxfId="261"/>
    <tableColumn id="26" xr3:uid="{00000000-0010-0000-0100-00001A000000}" name="G21" dataDxfId="260"/>
    <tableColumn id="27" xr3:uid="{00000000-0010-0000-0100-00001B000000}" name="G22" dataDxfId="259"/>
    <tableColumn id="28" xr3:uid="{00000000-0010-0000-0100-00001C000000}" name="G23" dataDxfId="258"/>
    <tableColumn id="79" xr3:uid="{00000000-0010-0000-0100-00004F000000}" name="G25" dataDxfId="257"/>
    <tableColumn id="80" xr3:uid="{00000000-0010-0000-0100-000050000000}" name="G26" dataDxfId="256"/>
    <tableColumn id="81" xr3:uid="{00000000-0010-0000-0100-000051000000}" name="G27" dataDxfId="255"/>
    <tableColumn id="82" xr3:uid="{00000000-0010-0000-0100-000052000000}" name="G28" dataDxfId="254"/>
    <tableColumn id="83" xr3:uid="{00000000-0010-0000-0100-000053000000}" name="G29" dataDxfId="253"/>
    <tableColumn id="84" xr3:uid="{00000000-0010-0000-0100-000054000000}" name="G30" dataDxfId="252"/>
    <tableColumn id="85" xr3:uid="{00000000-0010-0000-0100-000055000000}" name="G31" dataDxfId="251"/>
    <tableColumn id="110" xr3:uid="{00000000-0010-0000-0100-00006E000000}" name="G32" dataDxfId="250"/>
    <tableColumn id="111" xr3:uid="{00000000-0010-0000-0100-00006F000000}" name="G33" dataDxfId="249"/>
    <tableColumn id="112" xr3:uid="{00000000-0010-0000-0100-000070000000}" name="G34" dataDxfId="248"/>
    <tableColumn id="113" xr3:uid="{00000000-0010-0000-0100-000071000000}" name="G35" dataDxfId="247"/>
    <tableColumn id="114" xr3:uid="{00000000-0010-0000-0100-000072000000}" name="G36" dataDxfId="246"/>
    <tableColumn id="115" xr3:uid="{00000000-0010-0000-0100-000073000000}" name="G37" dataDxfId="245"/>
    <tableColumn id="116" xr3:uid="{00000000-0010-0000-0100-000074000000}" name="G38" dataDxfId="244"/>
    <tableColumn id="117" xr3:uid="{00000000-0010-0000-0100-000075000000}" name="G39" dataDxfId="243"/>
    <tableColumn id="118" xr3:uid="{00000000-0010-0000-0100-000076000000}" name="G40" dataDxfId="242"/>
    <tableColumn id="29" xr3:uid="{00000000-0010-0000-0100-00001D000000}" name="WS_G01" dataDxfId="241"/>
    <tableColumn id="30" xr3:uid="{00000000-0010-0000-0100-00001E000000}" name="WS_G02" dataDxfId="240"/>
    <tableColumn id="31" xr3:uid="{00000000-0010-0000-0100-00001F000000}" name="WS_G03" dataDxfId="239"/>
    <tableColumn id="32" xr3:uid="{00000000-0010-0000-0100-000020000000}" name="WS_G04" dataDxfId="238"/>
    <tableColumn id="33" xr3:uid="{00000000-0010-0000-0100-000021000000}" name="WS_G05" dataDxfId="237"/>
    <tableColumn id="34" xr3:uid="{00000000-0010-0000-0100-000022000000}" name="WS_G06" dataDxfId="236"/>
    <tableColumn id="35" xr3:uid="{00000000-0010-0000-0100-000023000000}" name="WS_G07" dataDxfId="235"/>
    <tableColumn id="36" xr3:uid="{00000000-0010-0000-0100-000024000000}" name="WS_G08" dataDxfId="234"/>
    <tableColumn id="37" xr3:uid="{00000000-0010-0000-0100-000025000000}" name="WS_G09" dataDxfId="233"/>
    <tableColumn id="38" xr3:uid="{00000000-0010-0000-0100-000026000000}" name="WS_G10" dataDxfId="232"/>
    <tableColumn id="39" xr3:uid="{00000000-0010-0000-0100-000027000000}" name="WS_G11" dataDxfId="231"/>
    <tableColumn id="40" xr3:uid="{00000000-0010-0000-0100-000028000000}" name="WS_G12" dataDxfId="230"/>
    <tableColumn id="41" xr3:uid="{00000000-0010-0000-0100-000029000000}" name="WS_G13" dataDxfId="229"/>
    <tableColumn id="42" xr3:uid="{00000000-0010-0000-0100-00002A000000}" name="WS_G14" dataDxfId="228"/>
    <tableColumn id="43" xr3:uid="{00000000-0010-0000-0100-00002B000000}" name="WS_G15" dataDxfId="227"/>
    <tableColumn id="44" xr3:uid="{00000000-0010-0000-0100-00002C000000}" name="WS_G16" dataDxfId="226"/>
    <tableColumn id="45" xr3:uid="{00000000-0010-0000-0100-00002D000000}" name="WS_G17" dataDxfId="225"/>
    <tableColumn id="46" xr3:uid="{00000000-0010-0000-0100-00002E000000}" name="WS_G18" dataDxfId="224"/>
    <tableColumn id="47" xr3:uid="{00000000-0010-0000-0100-00002F000000}" name="WS_G19" dataDxfId="223"/>
    <tableColumn id="48" xr3:uid="{00000000-0010-0000-0100-000030000000}" name="WS_G20" dataDxfId="222"/>
    <tableColumn id="49" xr3:uid="{00000000-0010-0000-0100-000031000000}" name="WS_G21" dataDxfId="221"/>
    <tableColumn id="50" xr3:uid="{00000000-0010-0000-0100-000032000000}" name="WS_G22" dataDxfId="220"/>
    <tableColumn id="51" xr3:uid="{00000000-0010-0000-0100-000033000000}" name="WS_G23" dataDxfId="219"/>
    <tableColumn id="120" xr3:uid="{00000000-0010-0000-0100-000078000000}" name="WS_G25" dataDxfId="218"/>
    <tableColumn id="121" xr3:uid="{00000000-0010-0000-0100-000079000000}" name="WS_G26" dataDxfId="217"/>
    <tableColumn id="122" xr3:uid="{00000000-0010-0000-0100-00007A000000}" name="WS_G27" dataDxfId="216"/>
    <tableColumn id="123" xr3:uid="{00000000-0010-0000-0100-00007B000000}" name="WS_G28" dataDxfId="215"/>
    <tableColumn id="124" xr3:uid="{00000000-0010-0000-0100-00007C000000}" name="WS_G29" dataDxfId="214"/>
    <tableColumn id="125" xr3:uid="{00000000-0010-0000-0100-00007D000000}" name="WS_G30" dataDxfId="213"/>
    <tableColumn id="126" xr3:uid="{00000000-0010-0000-0100-00007E000000}" name="WS_G31" dataDxfId="212"/>
    <tableColumn id="127" xr3:uid="{00000000-0010-0000-0100-00007F000000}" name="WS_G32" dataDxfId="211"/>
    <tableColumn id="128" xr3:uid="{00000000-0010-0000-0100-000080000000}" name="WS_G33" dataDxfId="210"/>
    <tableColumn id="129" xr3:uid="{00000000-0010-0000-0100-000081000000}" name="WS_G34" dataDxfId="209"/>
    <tableColumn id="130" xr3:uid="{00000000-0010-0000-0100-000082000000}" name="WS_G35" dataDxfId="208"/>
    <tableColumn id="131" xr3:uid="{00000000-0010-0000-0100-000083000000}" name="WS_G36" dataDxfId="207"/>
    <tableColumn id="132" xr3:uid="{00000000-0010-0000-0100-000084000000}" name="WS_G37" dataDxfId="206"/>
    <tableColumn id="133" xr3:uid="{00000000-0010-0000-0100-000085000000}" name="WS_G38" dataDxfId="205"/>
    <tableColumn id="134" xr3:uid="{00000000-0010-0000-0100-000086000000}" name="WS_G39" dataDxfId="204"/>
    <tableColumn id="135" xr3:uid="{00000000-0010-0000-0100-000087000000}" name="WS_G40" dataDxfId="203"/>
    <tableColumn id="106" xr3:uid="{00000000-0010-0000-0100-00006A000000}" name="WTG Total Gneration (KWh)" dataDxfId="202">
      <calculatedColumnFormula>SUM(Input_Raw[[#This Row],[G01]:[G40]])</calculatedColumnFormula>
    </tableColumn>
    <tableColumn id="107" xr3:uid="{00000000-0010-0000-0100-00006B000000}" name="Wind Speed Average cumulative (m/S)2" dataDxfId="201">
      <calculatedColumnFormula>IFERROR(AVERAGE(Input_Raw[[#This Row],[WS_G01]:[WS_G40]]),"")</calculatedColumnFormula>
    </tableColumn>
    <tableColumn id="108" xr3:uid="{00000000-0010-0000-0100-00006C000000}" name="Wind Speed Max (m/S)" dataDxfId="200"/>
    <tableColumn id="109" xr3:uid="{00000000-0010-0000-0100-00006D000000}" name="Rain (mm)" dataDxfId="199"/>
    <tableColumn id="52" xr3:uid="{00000000-0010-0000-0100-000034000000}" name="33 kV_Wind_F1_Export reading" dataDxfId="198"/>
    <tableColumn id="145" xr3:uid="{00000000-0010-0000-0100-000091000000}" name="33 kV_Wind_F1_Import reading" dataDxfId="197"/>
    <tableColumn id="53" xr3:uid="{00000000-0010-0000-0100-000035000000}" name="33 kV_Wind_F2_Export_reading" dataDxfId="196"/>
    <tableColumn id="146" xr3:uid="{00000000-0010-0000-0100-000092000000}" name="33 kV_Wind_F2_Import_reading" dataDxfId="195"/>
    <tableColumn id="54" xr3:uid="{00000000-0010-0000-0100-000036000000}" name="33 kV_Wind_F3_Export_Reading" dataDxfId="194"/>
    <tableColumn id="147" xr3:uid="{00000000-0010-0000-0100-000093000000}" name="33 kV_Wind_F3_Import_Reading" dataDxfId="193"/>
    <tableColumn id="55" xr3:uid="{00000000-0010-0000-0100-000037000000}" name="33 kV_Wind_F4_Export Reading" dataDxfId="192"/>
    <tableColumn id="148" xr3:uid="{00000000-0010-0000-0100-000094000000}" name="33 kV_Wind_F4_Import Reading" dataDxfId="191"/>
    <tableColumn id="86" xr3:uid="{00000000-0010-0000-0100-000056000000}" name="33 kV_F1_Total_Export (KWh)" dataDxfId="190" dataCellStyle="Normal 26">
      <calculatedColumnFormula>(Input_Raw[[#This Row],[33 kV_Wind_F1_Export reading]]-CJ4)*1200</calculatedColumnFormula>
    </tableColumn>
    <tableColumn id="149" xr3:uid="{00000000-0010-0000-0100-000095000000}" name="33 kV_Wind_F1_Import (KWh)" dataDxfId="189" dataCellStyle="Normal 26"/>
    <tableColumn id="151" xr3:uid="{00000000-0010-0000-0100-000097000000}" name="33 kV_F2_Total_Export (KWh)2" dataDxfId="188" dataCellStyle="Normal 26"/>
    <tableColumn id="152" xr3:uid="{00000000-0010-0000-0100-000098000000}" name="33 kV_Wind_F2_Import (KWh)" dataDxfId="187" dataCellStyle="Normal 26"/>
    <tableColumn id="153" xr3:uid="{00000000-0010-0000-0100-000099000000}" name="33 kV_Wind_F3_Export (KWh)" dataDxfId="186" dataCellStyle="Normal 26"/>
    <tableColumn id="154" xr3:uid="{00000000-0010-0000-0100-00009A000000}" name="33 kV_Wind_F3_Import (KWh)2" dataDxfId="185" dataCellStyle="Normal 26"/>
    <tableColumn id="155" xr3:uid="{00000000-0010-0000-0100-00009B000000}" name="33 kV_Wind_F4_Export (KWh)" dataDxfId="184" dataCellStyle="Normal 26"/>
    <tableColumn id="156" xr3:uid="{00000000-0010-0000-0100-00009C000000}" name="33 kV_Wind_F4_Import (KWh)2" dataDxfId="183" dataCellStyle="Normal 26"/>
    <tableColumn id="157" xr3:uid="{00000000-0010-0000-0100-00009D000000}" name="33 kV_Wind_Total_Export (KWh)" dataDxfId="182"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181"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180">
      <calculatedColumnFormula>IFERROR(#REF!/Input_Raw[[#This Row],[WTG Total Gneration (KWh)]]-1,"")</calculatedColumnFormula>
    </tableColumn>
    <tableColumn id="56" xr3:uid="{00000000-0010-0000-0100-000038000000}" name="Forecasting Data count received on Forecasting Portal" dataDxfId="179" dataCellStyle="Normal 26"/>
    <tableColumn id="57" xr3:uid="{00000000-0010-0000-0100-000039000000}" name="Forecasting Penalties (INR)" dataDxfId="178" dataCellStyle="Normal 26"/>
    <tableColumn id="58" xr3:uid="{00000000-0010-0000-0100-00003A000000}" name="Expected Energy As Per Power Curve  (MWh)" dataDxfId="177"/>
    <tableColumn id="59" xr3:uid="{45EB7B0C-FCA4-4200-9B6D-3BE20AEBB825}" name="Reactive Energy (MVArH)" dataDxfId="176"/>
    <tableColumn id="60" xr3:uid="{B882E9A7-BD2F-46BB-A2E4-FEB19DA2C282}" name="Operational Capacity" dataDxfId="175"/>
    <tableColumn id="61" xr3:uid="{F18A1240-D45D-47F8-90FE-07EA4A241D4B}" name="Column1" dataDxfId="17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3" dataDxfId="171" headerRowBorderDxfId="172" tableBorderDxfId="170" totalsRowBorderDxfId="169">
  <tableColumns count="40">
    <tableColumn id="1" xr3:uid="{E1AA9795-3804-4583-8B4E-46730556DEDB}" name="Sr. No." dataDxfId="168"/>
    <tableColumn id="2" xr3:uid="{9E23B903-2554-4616-9932-98F644CE3491}" name="Month Name" dataDxfId="167" dataCellStyle="Comma 42"/>
    <tableColumn id="3" xr3:uid="{5C3447DE-6C05-4333-BC66-1C88DE5925BD}" name="Month Number" dataDxfId="166"/>
    <tableColumn id="4" xr3:uid="{E8F67060-F022-455F-8630-F9155FD20001}" name="Month" dataDxfId="165" dataCellStyle="Comma 42"/>
    <tableColumn id="5" xr3:uid="{95352203-B85E-4A4B-9822-1ECFD14627C9}" name="CY" dataDxfId="164">
      <calculatedColumnFormula>YEAR(D2)</calculatedColumnFormula>
    </tableColumn>
    <tableColumn id="6" xr3:uid="{9B2AA251-4DE5-4BE9-850E-4CA0A0A76017}" name="FY" dataDxfId="163"/>
    <tableColumn id="7" xr3:uid="{CE450720-6890-4E25-877D-9BD864DBF55E}" name="No. of Days in Month" dataDxfId="162">
      <calculatedColumnFormula>DAY(EOMONTH(D2,0))</calculatedColumnFormula>
    </tableColumn>
    <tableColumn id="8" xr3:uid="{A5C69865-2F0D-4BFE-B0FB-B8D049BF63F1}" name="GHI" dataDxfId="161"/>
    <tableColumn id="9" xr3:uid="{B0213999-07EB-450D-AF60-1CA5A04802AC}" name="POA" dataDxfId="160"/>
    <tableColumn id="10" xr3:uid="{C8B5BC69-55F4-4E82-BF83-DDE4BF05FB78}" name="WS" dataDxfId="159"/>
    <tableColumn id="11" xr3:uid="{0F111C6B-FD4C-47C4-A415-A313B9445CA7}" name="Tamb" dataDxfId="158"/>
    <tableColumn id="12" xr3:uid="{385CAFED-7AF9-46FE-9DB3-E0B81E3CBBEE}" name="Tmod" dataDxfId="157"/>
    <tableColumn id="13" xr3:uid="{E90687D9-CDF8-4A27-ACC4-03D5BDA424FA}" name="Egrid (MWh)" dataDxfId="156"/>
    <tableColumn id="14" xr3:uid="{C48D2E87-4922-4A99-9CC2-5507E89ED533}" name="Bugt_Capacity" dataDxfId="155"/>
    <tableColumn id="15" xr3:uid="{B5D015EA-3880-457C-B47E-EAD301AC03F3}" name="PR" dataDxfId="154"/>
    <tableColumn id="16" xr3:uid="{0BF5D0A4-DD65-4ACC-AE3E-A75031B43D8F}" name="Daily POA" dataDxfId="153"/>
    <tableColumn id="17" xr3:uid="{4232A9A7-5EA5-4E87-B60A-15985EDDBB9E}" name="Days Operated" dataDxfId="152">
      <calculatedColumnFormula>COUNTIFS('Daily KPI'!$D:$D,D2,'Daily KPI'!$M:$M,"&gt;0")</calculatedColumnFormula>
    </tableColumn>
    <tableColumn id="18" xr3:uid="{51B9ABAA-1597-4F4A-8253-6D63A4D3A0CC}" name="MTD POA" dataDxfId="151"/>
    <tableColumn id="27" xr3:uid="{6AF41C3A-5FFF-472A-91BD-F6F3579E771C}" name="YTD POA" dataDxfId="150"/>
    <tableColumn id="19" xr3:uid="{173FC5D9-0D27-46B6-A552-513B97DDB4FB}" name="Daily Energy (MWh)" dataDxfId="149">
      <calculatedColumnFormula>M2/G2</calculatedColumnFormula>
    </tableColumn>
    <tableColumn id="20" xr3:uid="{AAF5781B-73C7-4B05-91F4-CFDF9CF000F2}" name="MTD Energy (MWh)" dataDxfId="148">
      <calculatedColumnFormula>M2/G2*Q2</calculatedColumnFormula>
    </tableColumn>
    <tableColumn id="28" xr3:uid="{7C366C19-CF86-4EE5-A9C3-C9C9E861A7E8}" name="YTD Energy (MWh)" dataDxfId="147">
      <calculatedColumnFormula>SUMIF($F$2:F2,F2,$U$2:U2)</calculatedColumnFormula>
    </tableColumn>
    <tableColumn id="38" xr3:uid="{1325F146-1FA0-4697-AC7F-ADF1C28F38D7}" name="Bugt CUF (%)" dataDxfId="146" dataCellStyle="Percent">
      <calculatedColumnFormula>IFERROR(T2/(24*N2),"")</calculatedColumnFormula>
    </tableColumn>
    <tableColumn id="37" xr3:uid="{29786BB7-0C3D-4FE8-8AC2-8844304AB764}" name="Bugt CUF (%) MTD" dataDxfId="145" dataCellStyle="Percent">
      <calculatedColumnFormula>IFERROR(U2/(24*N2*Q2),"")</calculatedColumnFormula>
    </tableColumn>
    <tableColumn id="36" xr3:uid="{468E0A2C-DD21-48DC-9E6F-079329174AE0}" name="Bugt CUF (%)YTD" dataDxfId="144" dataCellStyle="Percent">
      <calculatedColumnFormula>IFERROR(V2/(24*N2*SUMIFS($Q:$Q,$F:$F,$F2,$D:$D,"&lt;="&amp;D2)),"")</calculatedColumnFormula>
    </tableColumn>
    <tableColumn id="21" xr3:uid="{1C626EC1-BD1E-466E-A7DE-A7024C36A2BD}" name="Ave. Cap MTD" dataDxfId="143">
      <calculatedColumnFormula>IFERROR(AVERAGEIF('Daily KPI'!D:D,Table14[[#This Row],[Month]],'Daily KPI'!AB:AB),"")</calculatedColumnFormula>
    </tableColumn>
    <tableColumn id="29" xr3:uid="{9DB5FA5A-CFBA-4E9F-9391-745AB2029D93}" name="Ave. Cap YTD" dataDxfId="142">
      <calculatedColumnFormula>IFERROR(AVERAGEIF($F$2:F2,F2,$Z$2:Z2),"")</calculatedColumnFormula>
    </tableColumn>
    <tableColumn id="22" xr3:uid="{C4F7D6F8-81AC-46DF-B3DD-CA545D757096}" name="CC Energy MTD" dataDxfId="141"/>
    <tableColumn id="31" xr3:uid="{94683812-9761-4404-80FC-8264E9B49726}" name="WS MTD" dataDxfId="140"/>
    <tableColumn id="23" xr3:uid="{96B0CB3F-D1BB-4636-B424-847ADE427B13}" name="WS YTD" dataDxfId="139">
      <calculatedColumnFormula>AVERAGEIF($F$2:F2,F2,$AC$2:AC2)</calculatedColumnFormula>
    </tableColumn>
    <tableColumn id="24" xr3:uid="{72D0EEE5-75DB-4D96-9E27-FE2815765996}" name="Bugt PA" dataDxfId="138" dataCellStyle="Percent 43">
      <calculatedColumnFormula>IFERROR(AH2*AI2,"")</calculatedColumnFormula>
    </tableColumn>
    <tableColumn id="25" xr3:uid="{75139D73-ACC8-4980-A26E-5023674A2EA5}" name="Bugt EGA" dataDxfId="137" dataCellStyle="Percent 43"/>
    <tableColumn id="35" xr3:uid="{9391FCF3-B060-4BB6-A10E-FD9A351D153E}" name="Bugt TA" dataDxfId="136" dataCellStyle="Percent"/>
    <tableColumn id="26" xr3:uid="{8B5AE488-62F8-4F64-B74B-424DFCDD8576}" name="Bugt MA" dataDxfId="135" dataCellStyle="Percent"/>
    <tableColumn id="30" xr3:uid="{855EB78D-1C9F-419C-993A-1B7C9DA78F90}" name="Bugt IGA" dataDxfId="134" dataCellStyle="Percent"/>
    <tableColumn id="32" xr3:uid="{649BEC9A-0822-4AE7-BE4C-6B281BD95D9A}" name="Corelation" dataDxfId="133" dataCellStyle="Percent"/>
    <tableColumn id="33" xr3:uid="{FFB69321-1883-433A-9307-4552563D9C42}" name="Bugt Line loss" dataDxfId="132" dataCellStyle="Percent"/>
    <tableColumn id="34" xr3:uid="{29B1EF0B-AF67-46A7-BF21-8C633732C368}" name="Bugt Reactive Power" dataDxfId="131" dataCellStyle="Percent"/>
    <tableColumn id="39" xr3:uid="{6532083B-4EEB-4D84-BFBA-C41587DCA37E}" name="Bugt Capacity" dataDxfId="130" dataCellStyle="Percent"/>
    <tableColumn id="40" xr3:uid="{AE8FF153-DF1D-4118-B552-696C5B6B5E80}" name="CC*Bugt" dataDxfId="129"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57" totalsRowShown="0" headerRowDxfId="128" dataDxfId="126" headerRowBorderDxfId="127" tableBorderDxfId="125" totalsRowBorderDxfId="124">
  <autoFilter ref="A1:AD957" xr:uid="{879148F4-DD31-463B-B329-D39511C47ACA}"/>
  <tableColumns count="30">
    <tableColumn id="1" xr3:uid="{672251FB-E3C8-4D91-9D48-7E4C04ABE150}" name="Sr. No." dataDxfId="123"/>
    <tableColumn id="2" xr3:uid="{A5AC2E50-E7DE-4566-B60C-55E1EAD2B506}" name="Financial Year" dataDxfId="122">
      <calculatedColumnFormula>YEAR(Table6[[#This Row],[Date]])+IF(MONTH(Table6[[#This Row],[Date]])&gt;=4,1,0)</calculatedColumnFormula>
    </tableColumn>
    <tableColumn id="3" xr3:uid="{FDEDB7C9-B1E4-47C4-9B65-E18FA9B8B585}" name="Calendar Year" dataDxfId="121">
      <calculatedColumnFormula>YEAR(Table6[[#This Row],[Date]])</calculatedColumnFormula>
    </tableColumn>
    <tableColumn id="4" xr3:uid="{F411C3F7-3E1E-48FE-A4D0-CB9A4B631A49}" name="Operating Year" dataDxfId="120"/>
    <tableColumn id="5" xr3:uid="{BA480E83-5310-4537-B43D-CE0CBE2B5959}" name="Month" dataDxfId="119">
      <calculatedColumnFormula>Table6[[#This Row],[Date]]-DAY(Table6[[#This Row],[Date]])+1</calculatedColumnFormula>
    </tableColumn>
    <tableColumn id="6" xr3:uid="{8357E04F-BE5A-4B1A-9D39-725AA9036976}" name="Date" dataDxfId="118"/>
    <tableColumn id="7" xr3:uid="{9EE6D10A-D17E-4EC7-8884-68904786A32C}" name="Affected WTG" dataDxfId="117" dataCellStyle="Normal 27"/>
    <tableColumn id="8" xr3:uid="{9C7EC7A5-1EBF-4719-AFB4-FF8A6488255C}" name="SPV" dataDxfId="116"/>
    <tableColumn id="9" xr3:uid="{B4B7C51B-8637-4B3F-8E5D-30F8CE1BC836}" name="Consumer" dataDxfId="115"/>
    <tableColumn id="10" xr3:uid="{B7DB5D3E-3944-441F-B32E-913496AAEA1F}" name="Plant Equivalent Weightage" dataDxfId="114" dataCellStyle="Percent">
      <calculatedColumnFormula>IFERROR(VLOOKUP(Table6[[#This Row],[Affected WTG]],'Basic Data'!$A$3:$E$56,5,0),"")</calculatedColumnFormula>
    </tableColumn>
    <tableColumn id="11" xr3:uid="{B81DA037-20FB-4EAE-A3A4-38B17FC2D249}" name="Error Code" dataDxfId="113"/>
    <tableColumn id="12" xr3:uid="{0DA5A392-B53E-4DBB-9C75-FAA8AE17C2BF}" name="Error Text" dataDxfId="112" dataCellStyle="Normal 27">
      <calculatedColumnFormula>IFERROR(VLOOKUP(Table6[[#This Row],[Error Code]],'Basic Data'!$T:$U,2,0),"")</calculatedColumnFormula>
    </tableColumn>
    <tableColumn id="13" xr3:uid="{E789E2AA-C10A-4369-8DFA-5C51F51A2968}" name="Breakdown Description" dataDxfId="111"/>
    <tableColumn id="14" xr3:uid="{3F7D8F6F-B4DA-4DE2-93E3-B71D58DF742B}" name="Stoppage Type" dataDxfId="110"/>
    <tableColumn id="15" xr3:uid="{0FF8995A-CA13-4C21-9CE0-57790F086EFB}" name="Fault Start TimeStamp" dataDxfId="109"/>
    <tableColumn id="16" xr3:uid="{BDE50137-11E0-4665-8C87-CB24F9D2641A}" name="Work Start TimeStamp" dataDxfId="108"/>
    <tableColumn id="17" xr3:uid="{8F2290EF-0A49-437A-B75A-F622BBE23F6A}" name="Fault Clearance time" dataDxfId="107"/>
    <tableColumn id="18" xr3:uid="{A2064A0B-34AB-4F98-8CBC-5E244CB1EAD5}" name="Response Time" dataDxfId="106">
      <calculatedColumnFormula>IF(Table6[[#This Row],[Work Start TimeStamp]]="","",(Table6[[#This Row],[Work Start TimeStamp]]-Table6[[#This Row],[Fault Start TimeStamp]])*24)</calculatedColumnFormula>
    </tableColumn>
    <tableColumn id="19" xr3:uid="{1BB0E81E-66F4-4DE2-B535-17CF4C07ECB3}" name="Resolution Time" dataDxfId="105">
      <calculatedColumnFormula>(Table6[[#This Row],[Fault Clearance time]]-Table6[[#This Row],[Work Start TimeStamp]])*24</calculatedColumnFormula>
    </tableColumn>
    <tableColumn id="20" xr3:uid="{0844A323-5674-463D-8F8B-CDBD5A2DE5DB}" name="Breakdown Time" dataDxfId="104">
      <calculatedColumnFormula>(Table6[[#This Row],[Fault Clearance time]]-Table6[[#This Row],[Fault Start TimeStamp]])*24</calculatedColumnFormula>
    </tableColumn>
    <tableColumn id="21" xr3:uid="{68736AE1-45BB-4E78-9261-9E77B3C9DEE2}" name="Action taken" dataDxfId="103"/>
    <tableColumn id="22" xr3:uid="{FED2CA56-6403-4E90-913F-7ADB7D3BAD4F}" name="Status" dataDxfId="102"/>
    <tableColumn id="23" xr3:uid="{8EDCC9E1-836A-4C17-AE57-FE9006819359}" name="Plant Equivalent breakdown" dataDxfId="101" dataCellStyle="Comma">
      <calculatedColumnFormula>Table6[[#This Row],[Breakdown Time]]*(1/39)</calculatedColumnFormula>
    </tableColumn>
    <tableColumn id="24" xr3:uid="{1042C825-DF24-409C-8041-4B8D2440C767}" name="Fault Category" dataDxfId="100" dataCellStyle="Comma"/>
    <tableColumn id="25" xr3:uid="{903BF7A4-F983-44B4-9AF0-69CDB0C55C4F}" name="Paired WTG for Enegy based MA" dataDxfId="99"/>
    <tableColumn id="27" xr3:uid="{47C4DDAA-A89A-4C4A-AB09-B899337E2ABF}" name="Paired WTG Generation for loss calculation" dataDxfId="98"/>
    <tableColumn id="28" xr3:uid="{DAAA9998-F36D-4559-9640-6F4046E06DF9}" name="Estimated Energy Loss (kWh)" dataDxfId="97"/>
    <tableColumn id="29" xr3:uid="{7A4CAC37-554B-4754-9FF8-895A0FE71B11}" name="Special Remarks" dataDxfId="96"/>
    <tableColumn id="30" xr3:uid="{98015B0C-D7A7-4503-8993-B6B38FEECF92}" name="PTW No." dataDxfId="95"/>
    <tableColumn id="31" xr3:uid="{8AEDA088-9472-4C6C-B52E-8A06FFAD30D4}" name="Job Card No." dataDxfId="94"/>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5" totalsRowShown="0" headerRowDxfId="93" headerRowCellStyle="Normal 26">
  <autoFilter ref="A1:Y55" xr:uid="{29D164D4-AB81-40AE-84F9-DBA1578E211B}"/>
  <tableColumns count="25">
    <tableColumn id="1" xr3:uid="{84690491-DD2E-4937-87E1-1BB57ABA076E}" name="Sr. No." dataDxfId="92"/>
    <tableColumn id="2" xr3:uid="{14289472-B5A2-40B5-A0E0-E3D7A9D4F37F}" name="Financial Year">
      <calculatedColumnFormula>YEAR(Table8[[#This Row],[Date]])+IF(MONTH(Table8[[#This Row],[Date]])&gt;=4,1,0)</calculatedColumnFormula>
    </tableColumn>
    <tableColumn id="3" xr3:uid="{1902E4E8-8CDA-4549-8ECC-78579AAE0F68}" name="Calendar Year" dataDxfId="91">
      <calculatedColumnFormula>YEAR(Table6[[#This Row],[Date]])</calculatedColumnFormula>
    </tableColumn>
    <tableColumn id="4" xr3:uid="{053DDDBC-0450-4101-B468-BA0833C74587}" name="Operating Year" dataDxfId="90"/>
    <tableColumn id="5" xr3:uid="{C84CD6F6-0AF0-4E4A-A8AC-DCD8C7AC0542}" name="Month" dataDxfId="89">
      <calculatedColumnFormula>Table8[[#This Row],[Date]]-DAY(Table8[[#This Row],[Date]])+1</calculatedColumnFormula>
    </tableColumn>
    <tableColumn id="6" xr3:uid="{FD85E228-AEF5-48C3-8AD2-E290E907F50C}" name="Date" dataDxfId="88"/>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7"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6"/>
    <tableColumn id="13" xr3:uid="{CD4363C9-E2F1-4CFB-8CEF-F12EF817169F}" name="Work Start TimeStamp" dataDxfId="85"/>
    <tableColumn id="14" xr3:uid="{E0111BDF-EC48-45EC-9625-B871189918EE}" name="Fault Clearance time" dataDxfId="84"/>
    <tableColumn id="15" xr3:uid="{06301D1A-565B-46CB-BD85-5A5487FE602A}" name="Response Time" dataDxfId="83">
      <calculatedColumnFormula>(Table8[[#This Row],[Work Start TimeStamp]]-Table8[[#This Row],[Fault Start TimeStamp]])*24</calculatedColumnFormula>
    </tableColumn>
    <tableColumn id="16" xr3:uid="{DB4EAD56-C756-43F6-A905-95AE61E6E717}" name="Resolution Time" dataDxfId="82">
      <calculatedColumnFormula>IF(Table8[[#This Row],[Work Start TimeStamp]]="","",(Table8[[#This Row],[Fault Clearance time]]-Table8[[#This Row],[Work Start TimeStamp]])*24)</calculatedColumnFormula>
    </tableColumn>
    <tableColumn id="17" xr3:uid="{9CADFEBD-89F7-462C-8B46-BC1CFB542788}" name="Breakdown Time" dataDxfId="81">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80">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9"/>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8">
  <autoFilter ref="A1:AB2" xr:uid="{90134358-5F20-4F67-AF49-165686D2115A}"/>
  <tableColumns count="28">
    <tableColumn id="1" xr3:uid="{97B99004-6E80-4D40-A2C4-BA9C1A88B16A}" name="Sr. No." dataDxfId="77"/>
    <tableColumn id="2" xr3:uid="{55272701-0D89-40A7-8F9A-9DFD689003CE}" name="Financial Year" dataDxfId="76">
      <calculatedColumnFormula>YEAR(Table9[[#This Row],[Date]])+IF(MONTH(Table9[[#This Row],[Date]])&gt;=4,1,0)</calculatedColumnFormula>
    </tableColumn>
    <tableColumn id="3" xr3:uid="{0E281796-55E0-41ED-986E-FF03798B5B2B}" name="Calendar Year" dataDxfId="75"/>
    <tableColumn id="4" xr3:uid="{D65AFC25-2705-4317-88D7-E064C62D3731}" name="Operating Year" dataDxfId="74"/>
    <tableColumn id="5" xr3:uid="{789C034F-A404-4527-BFBB-E078C26D333C}" name="Month" dataDxfId="73">
      <calculatedColumnFormula>Table9[[#This Row],[Date]]-DAY(Table9[[#This Row],[Date]])+1</calculatedColumnFormula>
    </tableColumn>
    <tableColumn id="6" xr3:uid="{C8851158-D404-43F7-9F0B-B5FBEBAFF593}" name="Date" dataDxfId="72"/>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71"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70"/>
    <tableColumn id="14" xr3:uid="{E7BA7DBB-9578-46F0-9A6D-2D11977222D6}" name="Work Start TimeStamp" dataDxfId="69"/>
    <tableColumn id="15" xr3:uid="{8C9F8DA6-7EA0-40D4-AE86-C616B6D54E5B}" name="Fault Clearance time" dataDxfId="68"/>
    <tableColumn id="16" xr3:uid="{56C39CC2-7535-4E88-931D-E4A17FD3DC78}" name="Response Time" dataDxfId="67">
      <calculatedColumnFormula>(Table9[[#This Row],[Work Start TimeStamp]]-Table9[[#This Row],[Fault Start TimeStamp]])*24</calculatedColumnFormula>
    </tableColumn>
    <tableColumn id="17" xr3:uid="{7BA3B28E-9814-4F07-B080-7ACFAE548A24}" name="Resolution Time" dataDxfId="66">
      <calculatedColumnFormula>IF(Table9[[#This Row],[Work Start TimeStamp]]="","",(Table9[[#This Row],[Fault Clearance time]]-Table9[[#This Row],[Work Start TimeStamp]])*24)</calculatedColumnFormula>
    </tableColumn>
    <tableColumn id="18" xr3:uid="{3CA0C704-BC47-4449-B0EB-6D020C15071C}" name="Breakdown Time" dataDxfId="65">
      <calculatedColumnFormula>(Table9[[#This Row],[Fault Clearance time]]-Table9[[#This Row],[Fault Start TimeStamp]])*24</calculatedColumnFormula>
    </tableColumn>
    <tableColumn id="19" xr3:uid="{B6727A3C-8B4D-4DAA-B58C-3AAB217B84E6}" name="Action taken" dataDxfId="64"/>
    <tableColumn id="20" xr3:uid="{FD208E69-290B-4AE9-9DCE-BDF6962C3016}" name="Status" dataDxfId="63"/>
    <tableColumn id="21" xr3:uid="{9FA3F576-B1F1-4FCD-B3F2-870587C4FB72}" name="Plant Equivalent breakdown" dataDxfId="62" dataCellStyle="Comma">
      <calculatedColumnFormula>IFERROR(Table9[[#This Row],[Breakdown Time]]*Table9[[#This Row],[Plant Equivalent Weightage]],"")</calculatedColumnFormula>
    </tableColumn>
    <tableColumn id="22" xr3:uid="{2C4C3D72-3E0B-4876-9712-069F0CE2A461}" name="Fault Category" dataDxfId="61" dataCellStyle="Comma"/>
    <tableColumn id="28" xr3:uid="{DA0B21CD-7321-458A-AD57-D0A367038769}" name="Paired WTG for Enegy based MA" dataDxfId="60"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9">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8" dataDxfId="56" headerRowBorderDxfId="57" tableBorderDxfId="55" totalsRowBorderDxfId="54" headerRowCellStyle="Normal 26 41">
  <tableColumns count="45">
    <tableColumn id="1" xr3:uid="{DC219965-73B9-4F7C-915E-2446A96D6C48}" name="Date" dataDxfId="53"/>
    <tableColumn id="2" xr3:uid="{E9D3CD44-3CB2-4F3F-A952-3DBCE5BAA736}" name="Financial Year" dataDxfId="52">
      <calculatedColumnFormula>YEAR(Table7[[#This Row],[Date]])+IF(MONTH(Table7[[#This Row],[Date]])&gt;=4,1,0)</calculatedColumnFormula>
    </tableColumn>
    <tableColumn id="3" xr3:uid="{E369CB7D-29DA-4BE5-BB5C-36C0186036DD}" name="Calendar Year" dataDxfId="51">
      <calculatedColumnFormula>YEAR(Table7[[#This Row],[Date]])</calculatedColumnFormula>
    </tableColumn>
    <tableColumn id="4" xr3:uid="{017512A1-1218-4A45-A171-E61F41146B17}" name="Month Year" dataDxfId="50">
      <calculatedColumnFormula>A3-DAY(A3)+1</calculatedColumnFormula>
    </tableColumn>
    <tableColumn id="5" xr3:uid="{1BE74533-1857-4977-88D5-6532EBABC10F}" name="G01" dataDxfId="49"/>
    <tableColumn id="6" xr3:uid="{EBC5786F-F5DA-440C-A7EA-62F87472F5E7}" name="G02" dataDxfId="48"/>
    <tableColumn id="7" xr3:uid="{2D4F55E8-5F40-43D0-888A-B0EEED04F007}" name="G03" dataDxfId="47"/>
    <tableColumn id="8" xr3:uid="{C3B9D759-2EA4-4D89-8A4E-1CD11080A6DD}" name="G04" dataDxfId="46"/>
    <tableColumn id="9" xr3:uid="{7E457302-5D3B-4DBA-B194-7DE89E5B45A0}" name="G05" dataDxfId="45"/>
    <tableColumn id="10" xr3:uid="{A345136C-EA13-4EB6-962A-3466A4EFE7BE}" name="G06" dataDxfId="44"/>
    <tableColumn id="11" xr3:uid="{1E2F5408-DBEC-4CBF-9895-DB95C09FC136}" name="G07" dataDxfId="43"/>
    <tableColumn id="12" xr3:uid="{8988E71D-12FC-4967-A6BD-D90A6BBA1497}" name="G08" dataDxfId="42"/>
    <tableColumn id="13" xr3:uid="{4F2462D8-FF4F-4AE8-BBFE-5A649C0666AD}" name="G09" dataDxfId="41"/>
    <tableColumn id="14" xr3:uid="{70780244-BB33-49BB-9B8E-304BB4BBD25D}" name="G10" dataDxfId="40"/>
    <tableColumn id="15" xr3:uid="{34686208-9572-4E0D-8D23-916134F3F887}" name="G11" dataDxfId="39"/>
    <tableColumn id="16" xr3:uid="{7817F84A-4856-4AC2-BD04-2BECF8A11345}" name="G12" dataDxfId="38"/>
    <tableColumn id="17" xr3:uid="{4A4181FC-C8A1-4E8E-84F9-CAB842204A81}" name="G13" dataDxfId="37"/>
    <tableColumn id="18" xr3:uid="{E920AEB6-6179-42B6-8DD8-E49BD12AE0E5}" name="G14" dataDxfId="36"/>
    <tableColumn id="19" xr3:uid="{5598AE94-480D-442B-B378-539C711CD97C}" name="G15" dataDxfId="35"/>
    <tableColumn id="20" xr3:uid="{C1916A31-3F74-427D-8DE2-A7E25C0D96DB}" name="G16" dataDxfId="34"/>
    <tableColumn id="21" xr3:uid="{B9446923-E0EF-421E-84C0-58E9ED9DF29B}" name="G17" dataDxfId="33"/>
    <tableColumn id="22" xr3:uid="{95EDC25E-168C-4844-84EB-49A5E26FFCB7}" name="G18" dataDxfId="32"/>
    <tableColumn id="23" xr3:uid="{471023B4-A2D1-4664-A7C0-7398CBA15CC0}" name="G19" dataDxfId="31"/>
    <tableColumn id="24" xr3:uid="{A9FA4ED6-B019-4BA7-9E21-5AC34EEE0BA9}" name="G20" dataDxfId="30"/>
    <tableColumn id="25" xr3:uid="{94D783AD-24B5-4213-BF4B-148168F6AB04}" name="G21" dataDxfId="29"/>
    <tableColumn id="26" xr3:uid="{98843B16-E3BC-4CAC-B49D-B4F3D9432FB5}" name="G22" dataDxfId="28"/>
    <tableColumn id="27" xr3:uid="{D6AE3C3B-6BB7-4C93-B69C-94E01B4DBF9F}" name="G23" dataDxfId="27"/>
    <tableColumn id="29" xr3:uid="{D8E7F86B-3F2D-46CA-A137-CF7D10B56731}" name="G25" dataDxfId="26"/>
    <tableColumn id="30" xr3:uid="{4850E404-43E8-47DE-B29C-BD9CEC45D481}" name="G26" dataDxfId="25"/>
    <tableColumn id="31" xr3:uid="{3CDC62D9-B2E6-4255-9F3D-3E6EE8A01CFE}" name="G27" dataDxfId="24"/>
    <tableColumn id="32" xr3:uid="{D2F27884-2A8A-46A6-ACF0-4D2EEB014D1D}" name="G28" dataDxfId="23"/>
    <tableColumn id="33" xr3:uid="{B181092D-8262-476C-AA74-4303075A05FC}" name="G29" dataDxfId="22"/>
    <tableColumn id="34" xr3:uid="{AF30CA2B-24E7-451A-B2E4-33E3EFB20FC0}" name="G30" dataDxfId="21"/>
    <tableColumn id="35" xr3:uid="{69EF0A3E-4BED-4C8A-B8A8-2549669B009A}" name="G31" dataDxfId="20"/>
    <tableColumn id="36" xr3:uid="{0DC9A21D-9EC4-4743-BDD4-12605D90506F}" name="G32" dataDxfId="19"/>
    <tableColumn id="37" xr3:uid="{E3284188-8FBD-4023-97F3-F4A005BB4F4F}" name="G33" dataDxfId="18"/>
    <tableColumn id="38" xr3:uid="{9BCDAAA5-E16E-40A3-B1AC-A522B31D8830}" name="G34" dataDxfId="17"/>
    <tableColumn id="39" xr3:uid="{06AB873F-DAE9-423C-9A55-DE41E9515446}" name="G35" dataDxfId="16"/>
    <tableColumn id="40" xr3:uid="{BA880A4E-72D3-4C44-BB36-F75A9E8109BB}" name="G36" dataDxfId="15"/>
    <tableColumn id="41" xr3:uid="{E2C3F5BA-769F-4526-BDB4-618FC1D57A1E}" name="G37" dataDxfId="14"/>
    <tableColumn id="42" xr3:uid="{1BAE7550-6A34-4524-BD33-245541878E4D}" name="G38" dataDxfId="13"/>
    <tableColumn id="43" xr3:uid="{427E24E4-909A-4183-8D54-85D38B32E987}" name="G39" dataDxfId="12"/>
    <tableColumn id="44" xr3:uid="{9E8D1ACE-6C6F-4E5E-B583-2B85B8F74C43}" name="G40" dataDxfId="11"/>
    <tableColumn id="51" xr3:uid="{0BE913FF-FF72-490E-A5E1-053703C379F7}" name="Total Reactive Power (kVArh)" dataDxfId="10">
      <calculatedColumnFormula>SUM(E3:AQ3)</calculatedColumnFormula>
    </tableColumn>
    <tableColumn id="45" xr3:uid="{158C240E-B77B-4528-B67D-7DC21D730F4F}" name="Column1" dataDxfId="9"/>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52" totalsRowShown="0" headerRowDxfId="8">
  <autoFilter ref="A2:G152" xr:uid="{00000000-0009-0000-0100-000007000000}"/>
  <tableColumns count="7">
    <tableColumn id="1" xr3:uid="{00000000-0010-0000-0500-000001000000}" name="Sr. No." dataDxfId="7"/>
    <tableColumn id="2" xr3:uid="{00000000-0010-0000-0500-000002000000}" name="Date" dataDxfId="6"/>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I10" sqref="I10"/>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94" t="s">
        <v>0</v>
      </c>
      <c r="B2" s="395"/>
      <c r="C2" s="395"/>
      <c r="D2" s="395"/>
      <c r="E2" s="395"/>
      <c r="F2" s="396"/>
    </row>
    <row r="3" spans="1:18">
      <c r="A3" s="45" t="s">
        <v>1</v>
      </c>
      <c r="B3" s="178">
        <v>45839</v>
      </c>
      <c r="C3" s="47"/>
      <c r="D3" s="47"/>
      <c r="E3" s="47"/>
      <c r="F3" s="48"/>
    </row>
    <row r="4" spans="1:18">
      <c r="A4" s="45" t="s">
        <v>2</v>
      </c>
      <c r="B4" s="179">
        <v>45848</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110"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97">
        <v>1</v>
      </c>
      <c r="B10" s="61" t="s">
        <v>13</v>
      </c>
      <c r="C10" s="62">
        <f>_xlfn.XLOOKUP($B$4,'Daily KPI'!$A:$A,'Daily KPI'!$AD:$AD)/1000</f>
        <v>585.79781940673683</v>
      </c>
      <c r="D10" s="63">
        <f>_xlfn.XLOOKUP($B$4,'Daily KPI'!$A:$A,'Daily KPI'!$AA:$AA)/1000</f>
        <v>183.6</v>
      </c>
      <c r="E10" s="64">
        <f>D10/C10-1</f>
        <v>-0.68658128467268831</v>
      </c>
      <c r="F10" s="180"/>
    </row>
    <row r="11" spans="1:18">
      <c r="A11" s="398"/>
      <c r="B11" s="65" t="s">
        <v>14</v>
      </c>
      <c r="C11" s="66">
        <f>MonthlyKPI!E4</f>
        <v>5857.9781940673683</v>
      </c>
      <c r="D11" s="67">
        <f>MonthlyKPI!F4</f>
        <v>6698.4</v>
      </c>
      <c r="E11" s="68">
        <f>D11/C11-1</f>
        <v>0.14346618886081952</v>
      </c>
      <c r="F11" s="181"/>
    </row>
    <row r="12" spans="1:18" ht="15.75" thickBot="1">
      <c r="A12" s="399"/>
      <c r="B12" s="69" t="s">
        <v>15</v>
      </c>
      <c r="C12" s="70">
        <f>AnnualKPI!E4</f>
        <v>48432.932808014273</v>
      </c>
      <c r="D12" s="71">
        <f>AnnualKPI!F4</f>
        <v>45817.2</v>
      </c>
      <c r="E12" s="72">
        <f>D12/C12-1</f>
        <v>-5.400731808628878E-2</v>
      </c>
      <c r="F12" s="182"/>
    </row>
    <row r="13" spans="1:18">
      <c r="A13" s="397">
        <v>2</v>
      </c>
      <c r="B13" s="61" t="s">
        <v>16</v>
      </c>
      <c r="C13" s="73">
        <f>_xlfn.XLOOKUP($B$3,'Modelling New'!$D:$D,'Modelling New'!AC:AC)</f>
        <v>7.1310648756787653</v>
      </c>
      <c r="D13" s="74">
        <f>_xlfn.XLOOKUP($B$4,'Daily KPI'!$A:$A,'Daily KPI'!M:M)</f>
        <v>3.4600000000000009</v>
      </c>
      <c r="E13" s="64">
        <f t="shared" ref="E13:E39" si="0">(D13-C13)/(C13)</f>
        <v>-0.51479897317991186</v>
      </c>
      <c r="F13" s="180"/>
    </row>
    <row r="14" spans="1:18">
      <c r="A14" s="398"/>
      <c r="B14" s="65" t="s">
        <v>17</v>
      </c>
      <c r="C14" s="75">
        <f>MonthlyKPI!C4</f>
        <v>7.1310648756787653</v>
      </c>
      <c r="D14" s="76">
        <f>MonthlyKPI!D4</f>
        <v>5.7690047543616121</v>
      </c>
      <c r="E14" s="68">
        <f t="shared" si="0"/>
        <v>-0.1910037483970452</v>
      </c>
      <c r="F14" s="181"/>
    </row>
    <row r="15" spans="1:18" ht="15.75" thickBot="1">
      <c r="A15" s="399"/>
      <c r="B15" s="69" t="s">
        <v>18</v>
      </c>
      <c r="C15" s="77">
        <f>AnnualKPI!C4</f>
        <v>6.2836120320091453</v>
      </c>
      <c r="D15" s="78">
        <f>AnnualKPI!D4</f>
        <v>5.1814044388042753</v>
      </c>
      <c r="E15" s="72">
        <f t="shared" si="0"/>
        <v>-0.17540987374620678</v>
      </c>
      <c r="F15" s="182"/>
    </row>
    <row r="16" spans="1:18">
      <c r="A16" s="397">
        <v>3</v>
      </c>
      <c r="B16" s="61" t="s">
        <v>19</v>
      </c>
      <c r="C16" s="79">
        <f>_xlfn.XLOOKUP($B$3,'Modelling New'!$D:$D,'Modelling New'!$AE:$AE)</f>
        <v>0.96029999999999993</v>
      </c>
      <c r="D16" s="79">
        <f>_xlfn.XLOOKUP($B$4,'Daily KPI'!$A:$A,'Daily KPI'!$O:$O)</f>
        <v>0.91642836407047479</v>
      </c>
      <c r="E16" s="64">
        <f t="shared" si="0"/>
        <v>-4.5685344089893935E-2</v>
      </c>
      <c r="F16" s="186"/>
    </row>
    <row r="17" spans="1:6">
      <c r="A17" s="398"/>
      <c r="B17" s="65" t="s">
        <v>20</v>
      </c>
      <c r="C17" s="80">
        <f>_xlfn.XLOOKUP($B$3,'Modelling New'!$D:$D,'Modelling New'!$AE:$AE)</f>
        <v>0.96029999999999993</v>
      </c>
      <c r="D17" s="80">
        <f>MonthlyKPI!$P$4</f>
        <v>0.91404933611252481</v>
      </c>
      <c r="E17" s="68">
        <f t="shared" si="0"/>
        <v>-4.8162724031526737E-2</v>
      </c>
      <c r="F17" s="186"/>
    </row>
    <row r="18" spans="1:6" ht="15.75" thickBot="1">
      <c r="A18" s="399"/>
      <c r="B18" s="69" t="s">
        <v>21</v>
      </c>
      <c r="C18" s="81">
        <f>_xlfn.XLOOKUP($B$3,'Modelling New'!$D:$D,'Modelling New'!$AE:$AE)</f>
        <v>0.96029999999999993</v>
      </c>
      <c r="D18" s="81">
        <f>AnnualKPI!$P$4</f>
        <v>0.9194044185183905</v>
      </c>
      <c r="E18" s="72">
        <f t="shared" si="0"/>
        <v>-4.2586255838393663E-2</v>
      </c>
      <c r="F18" s="186"/>
    </row>
    <row r="19" spans="1:6">
      <c r="A19" s="397">
        <v>4</v>
      </c>
      <c r="B19" s="61" t="s">
        <v>22</v>
      </c>
      <c r="C19" s="79">
        <f>_xlfn.XLOOKUP($B$3,'Modelling New'!$D:$D,'Modelling New'!$AH:$AH)</f>
        <v>0.97</v>
      </c>
      <c r="D19" s="79">
        <f>_xlfn.XLOOKUP($B$4,'Daily KPI'!$A:$A,'Daily KPI'!$P:$P)</f>
        <v>0.91642836407047479</v>
      </c>
      <c r="E19" s="64">
        <f t="shared" si="0"/>
        <v>-5.5228490648995036E-2</v>
      </c>
      <c r="F19" s="180"/>
    </row>
    <row r="20" spans="1:6">
      <c r="A20" s="398"/>
      <c r="B20" s="65" t="s">
        <v>23</v>
      </c>
      <c r="C20" s="80">
        <f>_xlfn.XLOOKUP($B$3,'Modelling New'!$D:$D,'Modelling New'!$AH:$AH)</f>
        <v>0.97</v>
      </c>
      <c r="D20" s="80">
        <f>MonthlyKPI!L4</f>
        <v>0.91736461260656754</v>
      </c>
      <c r="E20" s="68">
        <f t="shared" si="0"/>
        <v>-5.4263285972610757E-2</v>
      </c>
      <c r="F20" s="181"/>
    </row>
    <row r="21" spans="1:6" ht="15.75" thickBot="1">
      <c r="A21" s="399"/>
      <c r="B21" s="69" t="s">
        <v>24</v>
      </c>
      <c r="C21" s="81">
        <f>_xlfn.XLOOKUP($B$3,'Modelling New'!$D:$D,'Modelling New'!$AH:$AH)</f>
        <v>0.97</v>
      </c>
      <c r="D21" s="81">
        <f>AnnualKPI!L4</f>
        <v>0.92510763644639049</v>
      </c>
      <c r="E21" s="72">
        <f t="shared" si="0"/>
        <v>-4.6280787168669568E-2</v>
      </c>
      <c r="F21" s="182"/>
    </row>
    <row r="22" spans="1:6">
      <c r="A22" s="397">
        <v>5</v>
      </c>
      <c r="B22" s="61" t="s">
        <v>25</v>
      </c>
      <c r="C22" s="79">
        <f>_xlfn.XLOOKUP($B$3,'Modelling New'!$D:$D,'Modelling New'!$AF:$AF)</f>
        <v>0.995</v>
      </c>
      <c r="D22" s="79">
        <f>_xlfn.XLOOKUP($B$4,'Daily KPI'!$A:$A,'Daily KPI'!$R:$R)</f>
        <v>1</v>
      </c>
      <c r="E22" s="64">
        <f t="shared" si="0"/>
        <v>5.0251256281407079E-3</v>
      </c>
      <c r="F22" s="180"/>
    </row>
    <row r="23" spans="1:6">
      <c r="A23" s="398"/>
      <c r="B23" s="65" t="s">
        <v>26</v>
      </c>
      <c r="C23" s="80">
        <f>_xlfn.XLOOKUP($B$3,'Modelling New'!$D:$D,'Modelling New'!$AF:$AF)</f>
        <v>0.995</v>
      </c>
      <c r="D23" s="80">
        <f>MonthlyKPI!J4</f>
        <v>1</v>
      </c>
      <c r="E23" s="68">
        <f t="shared" si="0"/>
        <v>5.0251256281407079E-3</v>
      </c>
      <c r="F23" s="181"/>
    </row>
    <row r="24" spans="1:6" ht="15.75" thickBot="1">
      <c r="A24" s="399"/>
      <c r="B24" s="69" t="s">
        <v>27</v>
      </c>
      <c r="C24" s="81">
        <f>_xlfn.XLOOKUP($B$3,'Modelling New'!$D:$D,'Modelling New'!$AF:$AF)</f>
        <v>0.995</v>
      </c>
      <c r="D24" s="81">
        <f>AnnualKPI!J4</f>
        <v>1</v>
      </c>
      <c r="E24" s="72">
        <f t="shared" si="0"/>
        <v>5.0251256281407079E-3</v>
      </c>
      <c r="F24" s="182"/>
    </row>
    <row r="25" spans="1:6">
      <c r="A25" s="397">
        <v>6</v>
      </c>
      <c r="B25" s="61" t="s">
        <v>28</v>
      </c>
      <c r="C25" s="79">
        <f>_xlfn.XLOOKUP($B$3,'Modelling New'!$D:$D,'Modelling New'!$AI:$AI)</f>
        <v>0.99</v>
      </c>
      <c r="D25" s="79">
        <f>_xlfn.XLOOKUP($B$4,'Daily KPI'!$A:$A,'Daily KPI'!$Q:$Q)</f>
        <v>1</v>
      </c>
      <c r="E25" s="64">
        <f t="shared" si="0"/>
        <v>1.0101010101010111E-2</v>
      </c>
      <c r="F25" s="180"/>
    </row>
    <row r="26" spans="1:6">
      <c r="A26" s="398"/>
      <c r="B26" s="65" t="s">
        <v>29</v>
      </c>
      <c r="C26" s="80">
        <f>_xlfn.XLOOKUP($B$3,'Modelling New'!$D:$D,'Modelling New'!$AI:$AI)</f>
        <v>0.99</v>
      </c>
      <c r="D26" s="80">
        <f>MonthlyKPI!N4</f>
        <v>0.99638608635161674</v>
      </c>
      <c r="E26" s="68">
        <f t="shared" si="0"/>
        <v>6.4505922743603519E-3</v>
      </c>
      <c r="F26" s="181"/>
    </row>
    <row r="27" spans="1:6" ht="15.75" thickBot="1">
      <c r="A27" s="399"/>
      <c r="B27" s="69" t="s">
        <v>30</v>
      </c>
      <c r="C27" s="81">
        <f>_xlfn.XLOOKUP($B$3,'Modelling New'!$D:$D,'Modelling New'!$AI:$AI)</f>
        <v>0.99</v>
      </c>
      <c r="D27" s="81">
        <f>AnnualKPI!N4</f>
        <v>0.99383507637023971</v>
      </c>
      <c r="E27" s="72">
        <f t="shared" si="0"/>
        <v>3.8738145153936572E-3</v>
      </c>
      <c r="F27" s="182"/>
    </row>
    <row r="28" spans="1:6">
      <c r="A28" s="397">
        <v>7</v>
      </c>
      <c r="B28" s="61" t="s">
        <v>31</v>
      </c>
      <c r="C28" s="163">
        <f>IFERROR(_xlfn.XLOOKUP($B$4,'Daily KPI'!$A:$A,'Daily KPI'!$AF:$AF),"")</f>
        <v>0.31292618558052182</v>
      </c>
      <c r="D28" s="79">
        <f>_xlfn.XLOOKUP($B$4,'Daily KPI'!$A:$A,'Daily KPI'!$W:$W)</f>
        <v>9.8076923076923075E-2</v>
      </c>
      <c r="E28" s="64">
        <f>D28/C28-1</f>
        <v>-0.68658128467268831</v>
      </c>
      <c r="F28" s="180"/>
    </row>
    <row r="29" spans="1:6">
      <c r="A29" s="398"/>
      <c r="B29" s="65" t="s">
        <v>32</v>
      </c>
      <c r="C29" s="164">
        <f>MonthlyKPI!$G$4</f>
        <v>0.31292618558052182</v>
      </c>
      <c r="D29" s="80">
        <f>MonthlyKPI!H4</f>
        <v>0.3578205128205128</v>
      </c>
      <c r="E29" s="68">
        <f t="shared" si="0"/>
        <v>0.14346618886081947</v>
      </c>
      <c r="F29" s="181"/>
    </row>
    <row r="30" spans="1:6" ht="15.75" thickBot="1">
      <c r="A30" s="399"/>
      <c r="B30" s="69" t="s">
        <v>33</v>
      </c>
      <c r="C30" s="165">
        <f>AnnualKPI!$G$4</f>
        <v>0.25616131848192369</v>
      </c>
      <c r="D30" s="81">
        <f>AnnualKPI!H4</f>
        <v>0.24232673267326732</v>
      </c>
      <c r="E30" s="72">
        <f t="shared" si="0"/>
        <v>-5.4007318086288766E-2</v>
      </c>
      <c r="F30" s="182"/>
    </row>
    <row r="31" spans="1:6">
      <c r="A31" s="397">
        <v>8</v>
      </c>
      <c r="B31" s="61" t="s">
        <v>34</v>
      </c>
      <c r="C31" s="80">
        <v>0.05</v>
      </c>
      <c r="D31" s="79">
        <f>_xlfn.XLOOKUP($B$4,'Daily KPI'!$A:$A,'Daily KPI'!$AN:$AN)</f>
        <v>1.4016433059448996E-2</v>
      </c>
      <c r="E31" s="64">
        <f>-(D31-C31)/(C31)</f>
        <v>0.71967133881102008</v>
      </c>
      <c r="F31" s="180"/>
    </row>
    <row r="32" spans="1:6">
      <c r="A32" s="398"/>
      <c r="B32" s="65" t="s">
        <v>35</v>
      </c>
      <c r="C32" s="80">
        <v>0.05</v>
      </c>
      <c r="D32" s="167">
        <f>MonthlyKPI!$U$4</f>
        <v>7.162878607742851E-3</v>
      </c>
      <c r="E32" s="68">
        <f t="shared" ref="E32:E33" si="1">-(D32-C32)/(C32)</f>
        <v>0.85674242784514298</v>
      </c>
      <c r="F32" s="181"/>
    </row>
    <row r="33" spans="1:6" ht="15.75" thickBot="1">
      <c r="A33" s="399"/>
      <c r="B33" s="69" t="s">
        <v>36</v>
      </c>
      <c r="C33" s="80">
        <v>0.05</v>
      </c>
      <c r="D33" s="81">
        <f>AnnualKPI!$R$4</f>
        <v>1.8854302739826537E-2</v>
      </c>
      <c r="E33" s="72">
        <f t="shared" si="1"/>
        <v>0.62291394520346932</v>
      </c>
      <c r="F33" s="182"/>
    </row>
    <row r="34" spans="1:6">
      <c r="A34" s="397">
        <v>9</v>
      </c>
      <c r="B34" s="61" t="s">
        <v>37</v>
      </c>
      <c r="C34" s="79">
        <v>0.05</v>
      </c>
      <c r="D34" s="171">
        <f>_xlfn.XLOOKUP($B$4,'Daily KPI'!$A:$A,'Daily KPI'!$AO:$AO)</f>
        <v>6.253530959669187E-6</v>
      </c>
      <c r="E34" s="64">
        <f>-(D34-C34)/(C34)</f>
        <v>0.99987492938080658</v>
      </c>
      <c r="F34" s="180"/>
    </row>
    <row r="35" spans="1:6">
      <c r="A35" s="398"/>
      <c r="B35" s="65" t="s">
        <v>38</v>
      </c>
      <c r="C35" s="80">
        <v>0.05</v>
      </c>
      <c r="D35" s="172">
        <f>MonthlyKPI!$V$4</f>
        <v>1.2107158959035314E-6</v>
      </c>
      <c r="E35" s="68">
        <f>-(D35-C35)/(C35)</f>
        <v>0.9999757856820819</v>
      </c>
      <c r="F35" s="181"/>
    </row>
    <row r="36" spans="1:6" ht="15.75" thickBot="1">
      <c r="A36" s="399"/>
      <c r="B36" s="69" t="s">
        <v>39</v>
      </c>
      <c r="C36" s="80">
        <v>0.05</v>
      </c>
      <c r="D36" s="173">
        <f>AnnualKPI!$S$4</f>
        <v>4.6170497749971123E-5</v>
      </c>
      <c r="E36" s="72">
        <f>-(D36-C36)/(C36)</f>
        <v>0.9990765900450006</v>
      </c>
      <c r="F36" s="182"/>
    </row>
    <row r="37" spans="1:6">
      <c r="A37" s="397">
        <v>10</v>
      </c>
      <c r="B37" s="61" t="s">
        <v>40</v>
      </c>
      <c r="C37" s="168">
        <f>IFERROR(_xlfn.XLOOKUP($B$4,'Daily KPI'!$A:$A,'Daily KPI'!$AI:$AI),"")</f>
        <v>186.21</v>
      </c>
      <c r="D37" s="62">
        <f>IFERROR(_xlfn.XLOOKUP($B$4,'Daily KPI'!$A:$A,'Daily KPI'!$X:$X)/1000,"")</f>
        <v>186.21</v>
      </c>
      <c r="E37" s="64">
        <f t="shared" si="0"/>
        <v>0</v>
      </c>
      <c r="F37" s="180"/>
    </row>
    <row r="38" spans="1:6">
      <c r="A38" s="398"/>
      <c r="B38" s="65" t="s">
        <v>41</v>
      </c>
      <c r="C38" s="169">
        <f>MonthlyKPI!$T$4</f>
        <v>6743.951</v>
      </c>
      <c r="D38" s="66">
        <f>IFERROR(SUMIF('Daily KPI'!$D:$D,O2Summary!$B$3,'Daily KPI'!$X:$X)/1000,"")</f>
        <v>6743.95</v>
      </c>
      <c r="E38" s="68">
        <f t="shared" si="0"/>
        <v>-1.4828102994872394E-7</v>
      </c>
      <c r="F38" s="181"/>
    </row>
    <row r="39" spans="1:6" ht="15.75" thickBot="1">
      <c r="A39" s="399"/>
      <c r="B39" s="69" t="s">
        <v>42</v>
      </c>
      <c r="C39" s="170">
        <f>AnnualKPI!$Q$4</f>
        <v>46405.668999999994</v>
      </c>
      <c r="D39" s="70">
        <f>IFERROR(SUMIFS('Daily KPI'!$X:$X,'Daily KPI'!$A:$A,"&gt;="&amp;O2Summary!$B$6,'Daily KPI'!$A:$A,"&lt;="&amp;O2Summary!B4)/1000,"")</f>
        <v>46578.286999999997</v>
      </c>
      <c r="E39" s="72">
        <f t="shared" si="0"/>
        <v>3.7197610490218819E-3</v>
      </c>
      <c r="F39" s="182"/>
    </row>
  </sheetData>
  <sheetProtection algorithmName="SHA-512" hashValue="ttakURqYOhuPdHXXwcVJmteg8+7fYfge2dIe0sqzkdHCCBgnG2YXAV/bvVAUki42hjQ/XMJHZg6x8SI5fT/BcA==" saltValue="DyMd8HYEQhMRAkKzKxp9bQ==" spinCount="100000" sheet="1" objects="1" scenarios="1"/>
  <mergeCells count="11">
    <mergeCell ref="A37:A39"/>
    <mergeCell ref="A25:A27"/>
    <mergeCell ref="A28:A30"/>
    <mergeCell ref="A31:A33"/>
    <mergeCell ref="A34:A36"/>
    <mergeCell ref="A2:F2"/>
    <mergeCell ref="A10:A12"/>
    <mergeCell ref="A13:A15"/>
    <mergeCell ref="A19:A21"/>
    <mergeCell ref="A22:A24"/>
    <mergeCell ref="A16:A18"/>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45848</v>
      </c>
      <c r="C1" s="31">
        <f>O2Summary!B3</f>
        <v>45839</v>
      </c>
    </row>
    <row r="2" spans="1:19" ht="21">
      <c r="A2" s="400" t="s">
        <v>44</v>
      </c>
      <c r="B2" s="401"/>
      <c r="C2" s="401"/>
      <c r="D2" s="401"/>
      <c r="E2" s="401"/>
      <c r="F2" s="401"/>
      <c r="G2" s="401"/>
      <c r="H2" s="401"/>
      <c r="I2" s="401"/>
      <c r="J2" s="401"/>
      <c r="K2" s="401"/>
      <c r="L2" s="401"/>
      <c r="M2" s="401"/>
      <c r="N2" s="401"/>
      <c r="O2" s="401"/>
      <c r="P2" s="401"/>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61" t="s">
        <v>61</v>
      </c>
      <c r="R3" s="161" t="s">
        <v>62</v>
      </c>
      <c r="S3" s="161" t="s">
        <v>63</v>
      </c>
    </row>
    <row r="4" spans="1:19" s="39" customFormat="1" ht="15.75" customHeight="1">
      <c r="A4" s="82">
        <f>YEAR(B1)+IF(MONTH(B1)&gt;=4,1,0)</f>
        <v>2026</v>
      </c>
      <c r="B4" s="32">
        <f>B1-(O2Summary!B6)+1</f>
        <v>101</v>
      </c>
      <c r="C4" s="33">
        <f>_xlfn.XLOOKUP($C$1,'Modelling New'!$D:$D,'Modelling New'!$AD:$AD)</f>
        <v>6.2836120320091453</v>
      </c>
      <c r="D4" s="34">
        <f>AVERAGEIFS('Daily KPI'!$M:$M,'Daily KPI'!$A:$A,"&gt;="&amp;O2Summary!$B$6,'Daily KPI'!$A:$A,"&lt;="&amp;AnnualKPI!$B$1)</f>
        <v>5.1814044388042753</v>
      </c>
      <c r="E4" s="32">
        <f>_xlfn.XLOOKUP($C$1,'Modelling New'!$D:$D,'Modelling New'!$V:$V)</f>
        <v>48432.932808014273</v>
      </c>
      <c r="F4" s="35">
        <f>SUMIFS('Daily KPI'!$AA:$AA,'Daily KPI'!$A:$A,"&gt;="&amp;O2Summary!$B$6,'Daily KPI'!$A:$A,"&lt;="&amp;AnnualKPI!$B$1)/1000</f>
        <v>45817.2</v>
      </c>
      <c r="G4" s="36">
        <f>_xlfn.XLOOKUP($C$1,'Modelling New'!$D:$D,'Modelling New'!$Y:$Y)</f>
        <v>0.25616131848192369</v>
      </c>
      <c r="H4" s="37">
        <f>IFERROR(F4/(B4*24*'Basic Data'!$K$3),"")</f>
        <v>0.24232673267326732</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0.92510763644639049</v>
      </c>
      <c r="M4" s="36">
        <f>_xlfn.XLOOKUP($C$1,'Modelling New'!$D:$D,'Modelling New'!$AI:$AI)</f>
        <v>0.99</v>
      </c>
      <c r="N4" s="38">
        <f>AVERAGEIFS('Daily KPI'!$Q:$Q,'Daily KPI'!$A:$A,"&gt;="&amp;O2Summary!$B$6,'Daily KPI'!$A:$A,"&lt;="&amp;AnnualKPI!$B$1)</f>
        <v>0.99383507637023971</v>
      </c>
      <c r="O4" s="36">
        <f>K4*M4</f>
        <v>0.96029999999999993</v>
      </c>
      <c r="P4" s="38">
        <f>L4*N4</f>
        <v>0.9194044185183905</v>
      </c>
      <c r="Q4" s="35">
        <f>SUMIFS('Daily KPI'!$AI:$AI,'Daily KPI'!$A:$A,"&gt;="&amp;O2Summary!$B$6,'Daily KPI'!$A:$A,"&lt;="&amp;AnnualKPI!$B$1)</f>
        <v>46405.668999999994</v>
      </c>
      <c r="R4" s="38">
        <f>AVERAGEIFS('Daily KPI'!$AN:$AN,'Daily KPI'!$A:$A,"&gt;="&amp;O2Summary!$B$6,'Daily KPI'!$A:$A,"&lt;="&amp;AnnualKPI!$B$1)</f>
        <v>1.8854302739826537E-2</v>
      </c>
      <c r="S4" s="38">
        <f>AVERAGEIFS('Daily KPI'!$AO:$AO,'Daily KPI'!$A:$A,"&gt;="&amp;O2Summary!$B$6,'Daily KPI'!$A:$A,"&lt;="&amp;AnnualKPI!$B$1)</f>
        <v>4.6170497749971123E-5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45848</v>
      </c>
      <c r="C1" s="28">
        <v>0</v>
      </c>
      <c r="D1" s="28">
        <v>0</v>
      </c>
      <c r="E1" s="28">
        <v>0</v>
      </c>
      <c r="F1" s="28">
        <v>0</v>
      </c>
    </row>
    <row r="2" spans="1:22" ht="29.1" customHeight="1">
      <c r="A2" s="400" t="s">
        <v>64</v>
      </c>
      <c r="B2" s="401"/>
      <c r="C2" s="401"/>
      <c r="D2" s="401"/>
      <c r="E2" s="401"/>
      <c r="F2" s="401"/>
      <c r="G2" s="401"/>
      <c r="H2" s="401"/>
      <c r="I2" s="401"/>
      <c r="J2" s="401"/>
      <c r="K2" s="401"/>
      <c r="L2" s="401"/>
      <c r="M2" s="401"/>
      <c r="N2" s="401"/>
      <c r="O2" s="401"/>
      <c r="P2" s="401"/>
      <c r="Q2" s="401"/>
      <c r="R2" s="401"/>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61" t="s">
        <v>61</v>
      </c>
      <c r="U3" s="161" t="s">
        <v>62</v>
      </c>
      <c r="V3" s="161" t="s">
        <v>63</v>
      </c>
    </row>
    <row r="4" spans="1:22" s="39" customFormat="1" ht="29.1" customHeight="1">
      <c r="A4" s="31">
        <f>O2Summary!B3</f>
        <v>45839</v>
      </c>
      <c r="B4" s="32">
        <f>DAY(B1)</f>
        <v>10</v>
      </c>
      <c r="C4" s="33">
        <f>_xlfn.XLOOKUP($A$4,'Modelling New'!$D:$D,'Modelling New'!$AC:$AC)</f>
        <v>7.1310648756787653</v>
      </c>
      <c r="D4" s="34">
        <f>AVERAGEIF('Daily KPI'!$D:$D,$A$4,'Daily KPI'!$M:$M)</f>
        <v>5.7690047543616121</v>
      </c>
      <c r="E4" s="32">
        <f>_xlfn.XLOOKUP($A$4,'Modelling New'!$D:$D,'Modelling New'!$U:$U)</f>
        <v>5857.9781940673683</v>
      </c>
      <c r="F4" s="35">
        <f>SUMIFS('Daily KPI'!$AA:$AA,'Daily KPI'!$D:$D,$A$4)/1000</f>
        <v>6698.4</v>
      </c>
      <c r="G4" s="36">
        <f>_xlfn.XLOOKUP($A$4,'Modelling New'!$D:$D,'Modelling New'!$X:$X)</f>
        <v>0.31292618558052182</v>
      </c>
      <c r="H4" s="37">
        <f>F4/(24*B4*'Basic Data'!$K$3)</f>
        <v>0.3578205128205128</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0.91736461260656754</v>
      </c>
      <c r="M4" s="36">
        <f>_xlfn.XLOOKUP($A$4,'Modelling New'!$D:$D,'Modelling New'!$AI:$AI)</f>
        <v>0.99</v>
      </c>
      <c r="N4" s="37">
        <f>AVERAGEIFS('Daily KPI'!$Q:$Q,'Daily KPI'!$A:$A,"&lt;="&amp;MonthlyKPI!$B$1,'Daily KPI'!$D:$D,$A$4)</f>
        <v>0.99638608635161674</v>
      </c>
      <c r="O4" s="36">
        <f>K4*M4</f>
        <v>0.96029999999999993</v>
      </c>
      <c r="P4" s="38">
        <f>L4*N4</f>
        <v>0.91404933611252481</v>
      </c>
      <c r="Q4" s="32">
        <f>SUMIFS('Daily KPI'!$X:$X,'Daily KPI'!$D:$D,$A$4)/1000</f>
        <v>6743.95</v>
      </c>
      <c r="R4" s="38">
        <f>Q4/F4-1</f>
        <v>6.8001313746566261E-3</v>
      </c>
      <c r="S4" s="32">
        <f>SUMIFS(Input_Raw!DE:DE,Input_Raw!A:A,"&gt;="&amp;A4,Input_Raw!A:A,"&lt;="&amp;B1)/1000</f>
        <v>6.743951</v>
      </c>
      <c r="T4" s="35">
        <f>SUMIFS('Daily KPI'!$AI:$AI,'Daily KPI'!$D:$D,$A$4)</f>
        <v>6743.951</v>
      </c>
      <c r="U4" s="37">
        <f>IFERROR(AVERAGEIFS('Daily KPI'!$AN:$AN,'Daily KPI'!$D:$D,MonthlyKPI!$A$4,'Daily KPI'!$A:$A,"&lt;="&amp;MonthlyKPI!$B$1),"")</f>
        <v>7.162878607742851E-3</v>
      </c>
      <c r="V4" s="38">
        <f>AVERAGEIFS('Daily KPI'!$AO:$AO,'Daily KPI'!$A:$A,"&lt;="&amp;MonthlyKPI!$B$1,'Daily KPI'!$D:$D,$A$4)</f>
        <v>1.2107158959035314E-6</v>
      </c>
    </row>
    <row r="6" spans="1:22" ht="29.1" customHeight="1">
      <c r="Q6" s="3"/>
    </row>
    <row r="7" spans="1:22" ht="29.1" customHeight="1">
      <c r="A7" s="26" t="s">
        <v>69</v>
      </c>
      <c r="B7" s="27">
        <f>B8-6</f>
        <v>45842</v>
      </c>
      <c r="D7" s="40"/>
      <c r="F7" s="40"/>
    </row>
    <row r="8" spans="1:22" ht="29.1" customHeight="1">
      <c r="A8" s="26" t="s">
        <v>70</v>
      </c>
      <c r="B8" s="27">
        <f>B1</f>
        <v>45848</v>
      </c>
    </row>
    <row r="9" spans="1:22" ht="29.1" customHeight="1">
      <c r="A9" s="400" t="s">
        <v>71</v>
      </c>
      <c r="B9" s="401"/>
      <c r="C9" s="401"/>
      <c r="D9" s="401"/>
      <c r="E9" s="401"/>
      <c r="F9" s="401"/>
      <c r="G9" s="401"/>
      <c r="H9" s="401"/>
      <c r="I9" s="401"/>
      <c r="J9" s="401"/>
      <c r="K9" s="401"/>
      <c r="L9" s="401"/>
      <c r="M9" s="401"/>
      <c r="N9" s="401"/>
      <c r="O9" s="401"/>
      <c r="P9" s="401"/>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5.7171834706378482</v>
      </c>
      <c r="E11" s="32">
        <f>SUMIFS('Daily KPI'!$AD:$AD,'Daily KPI'!$A:$A,"&gt;="&amp;$B$7,'Daily KPI'!$A:$A,"&lt;="&amp;$B$8)/1000</f>
        <v>4100.5847358471574</v>
      </c>
      <c r="F11" s="35">
        <f>SUMIFS('Daily KPI'!$AA:$AA,'Daily KPI'!$A:$A,"&gt;="&amp;$B$7,'Daily KPI'!$A:$A,"&lt;="&amp;$B$8)/1000</f>
        <v>4135.2</v>
      </c>
      <c r="G11" s="36">
        <f>E11/(24*$B$11*'Basic Data'!$K$3)</f>
        <v>0.31292618558052177</v>
      </c>
      <c r="H11" s="37">
        <f>F11/(24*B11*'Basic Data'!$K$3)</f>
        <v>0.31556776556776556</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0.91675193670460964</v>
      </c>
      <c r="M11" s="36">
        <f>_xlfn.XLOOKUP($A$4,'Modelling New'!$D:$D,'Modelling New'!$AI:$AI)</f>
        <v>0.99</v>
      </c>
      <c r="N11" s="37">
        <f>AVERAGEIFS('Daily KPI'!$Q:$Q,'Daily KPI'!$A:$A,"&gt;="&amp;$B$7,'Daily KPI'!$A:$A,"&lt;="&amp;$B$8)</f>
        <v>0.99483726621659507</v>
      </c>
      <c r="O11" s="36">
        <f>K11*M11</f>
        <v>0.96029999999999993</v>
      </c>
      <c r="P11" s="38">
        <f>L11*N11</f>
        <v>0.91201899050998281</v>
      </c>
      <c r="Q11" s="32">
        <f>SUMIFS(Input_Raw!DE:DE,Input_Raw!A:A,"&gt;="&amp;B7,Input_Raw!A:A,"&lt;="&amp;B8)/1000</f>
        <v>4.1710029999999998</v>
      </c>
      <c r="R11"/>
    </row>
    <row r="14" spans="1:22" ht="29.1" customHeight="1">
      <c r="A14" s="26" t="s">
        <v>69</v>
      </c>
      <c r="B14" s="27">
        <f>B15-29</f>
        <v>45819</v>
      </c>
      <c r="D14" s="40"/>
      <c r="F14" s="40"/>
    </row>
    <row r="15" spans="1:22" ht="29.1" customHeight="1">
      <c r="A15" s="26" t="s">
        <v>70</v>
      </c>
      <c r="B15" s="27">
        <f>B8</f>
        <v>45848</v>
      </c>
    </row>
    <row r="16" spans="1:22" ht="29.1" customHeight="1">
      <c r="A16" s="400" t="s">
        <v>72</v>
      </c>
      <c r="B16" s="401"/>
      <c r="C16" s="401"/>
      <c r="D16" s="401"/>
      <c r="E16" s="401"/>
      <c r="F16" s="401"/>
      <c r="G16" s="401"/>
      <c r="H16" s="401"/>
      <c r="I16" s="401"/>
      <c r="J16" s="401"/>
      <c r="K16" s="401"/>
      <c r="L16" s="401"/>
      <c r="M16" s="401"/>
      <c r="N16" s="401"/>
      <c r="O16" s="401"/>
      <c r="P16" s="401"/>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6.3511713019679208</v>
      </c>
      <c r="E18" s="32">
        <f>SUMIFS('Daily KPI'!$AD:$AD,'Daily KPI'!$A:$A,"&gt;="&amp;$B$14,'Daily KPI'!$A:$A,"&lt;="&amp;$B$15)/1000</f>
        <v>15883.48503633697</v>
      </c>
      <c r="F18" s="35">
        <f>SUMIFS('Daily KPI'!$AA:$AA,'Daily KPI'!$A:$A,"&gt;="&amp;$B$14,'Daily KPI'!$A:$A,"&lt;="&amp;$B$15)/1000</f>
        <v>21148.799999999999</v>
      </c>
      <c r="G18" s="36">
        <f>E18/(24*$B$18*'Basic Data'!$K$3)</f>
        <v>0.28282558825386345</v>
      </c>
      <c r="H18" s="37">
        <f>F18/(24*B18*'Basic Data'!$K$3)</f>
        <v>0.37658119658119654</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0.9175272548298008</v>
      </c>
      <c r="M18" s="36">
        <f>_xlfn.XLOOKUP($A$4,'Modelling New'!$D:$D,'Modelling New'!$AI:$AI)</f>
        <v>0.99</v>
      </c>
      <c r="N18" s="37">
        <f>AVERAGEIFS('Daily KPI'!$Q:$Q,'Daily KPI'!$A:$A,"&gt;="&amp;$B$14,'Daily KPI'!$A:$A,"&lt;="&amp;$B$15)</f>
        <v>0.997495824308959</v>
      </c>
      <c r="O18" s="36">
        <f>K18*M18</f>
        <v>0.96029999999999993</v>
      </c>
      <c r="P18" s="38">
        <f>L18*N18</f>
        <v>0.9152296053823884</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AN156"/>
  <sheetViews>
    <sheetView zoomScale="86" workbookViewId="0">
      <selection activeCell="A15" sqref="A15"/>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2" spans="1:40" ht="29.1" customHeight="1">
      <c r="A2" s="83" t="s">
        <v>69</v>
      </c>
      <c r="B2" s="89">
        <f>B3</f>
        <v>45848</v>
      </c>
    </row>
    <row r="3" spans="1:40" ht="29.1" customHeight="1">
      <c r="A3" s="88" t="s">
        <v>70</v>
      </c>
      <c r="B3" s="89">
        <f>O2Summary!B4</f>
        <v>45848</v>
      </c>
      <c r="C3">
        <f>((B3-B2)+1)*24</f>
        <v>24</v>
      </c>
      <c r="D3" s="84">
        <f>MEDIAN(B21:AN21)</f>
        <v>3.8</v>
      </c>
    </row>
    <row r="4" spans="1:40" ht="29.1" customHeight="1">
      <c r="A4" s="85" t="s">
        <v>114</v>
      </c>
      <c r="B4" s="90" t="s">
        <v>115</v>
      </c>
      <c r="C4" s="90" t="s">
        <v>116</v>
      </c>
      <c r="D4" s="90" t="s">
        <v>117</v>
      </c>
      <c r="E4" s="90" t="s">
        <v>118</v>
      </c>
      <c r="F4" s="90" t="s">
        <v>119</v>
      </c>
      <c r="G4" s="90" t="s">
        <v>120</v>
      </c>
      <c r="H4" s="90" t="s">
        <v>121</v>
      </c>
      <c r="I4" s="90" t="s">
        <v>122</v>
      </c>
      <c r="J4" s="90" t="s">
        <v>123</v>
      </c>
      <c r="K4" s="90" t="s">
        <v>124</v>
      </c>
      <c r="L4" s="90" t="s">
        <v>125</v>
      </c>
      <c r="M4" s="90" t="s">
        <v>126</v>
      </c>
      <c r="N4" s="90" t="s">
        <v>127</v>
      </c>
      <c r="O4" s="90" t="s">
        <v>128</v>
      </c>
      <c r="P4" s="90" t="s">
        <v>129</v>
      </c>
      <c r="Q4" s="90" t="s">
        <v>130</v>
      </c>
      <c r="R4" s="90" t="s">
        <v>131</v>
      </c>
      <c r="S4" s="90" t="s">
        <v>132</v>
      </c>
      <c r="T4" s="90" t="s">
        <v>133</v>
      </c>
      <c r="U4" s="90" t="s">
        <v>134</v>
      </c>
      <c r="V4" s="90" t="s">
        <v>135</v>
      </c>
      <c r="W4" s="90" t="s">
        <v>136</v>
      </c>
      <c r="X4" s="90" t="s">
        <v>137</v>
      </c>
      <c r="Y4" s="90" t="s">
        <v>138</v>
      </c>
      <c r="Z4" s="90" t="s">
        <v>139</v>
      </c>
      <c r="AA4" s="90" t="s">
        <v>140</v>
      </c>
      <c r="AB4" s="90" t="s">
        <v>141</v>
      </c>
      <c r="AC4" s="90" t="s">
        <v>142</v>
      </c>
      <c r="AD4" s="90" t="s">
        <v>143</v>
      </c>
      <c r="AE4" s="90" t="s">
        <v>144</v>
      </c>
      <c r="AF4" s="90" t="s">
        <v>145</v>
      </c>
      <c r="AG4" s="90" t="s">
        <v>146</v>
      </c>
      <c r="AH4" s="90" t="s">
        <v>147</v>
      </c>
      <c r="AI4" s="90" t="s">
        <v>148</v>
      </c>
      <c r="AJ4" s="90" t="s">
        <v>149</v>
      </c>
      <c r="AK4" s="90" t="s">
        <v>150</v>
      </c>
      <c r="AL4" s="90" t="s">
        <v>151</v>
      </c>
      <c r="AM4" s="90" t="s">
        <v>152</v>
      </c>
      <c r="AN4" s="90" t="s">
        <v>153</v>
      </c>
    </row>
    <row r="5" spans="1:40" ht="29.1" customHeight="1">
      <c r="A5" s="85" t="s">
        <v>154</v>
      </c>
      <c r="B5" s="91">
        <f>IFERROR(($C$3-B6)/$C$3,1)</f>
        <v>1</v>
      </c>
      <c r="C5" s="91">
        <f>IFERROR(($C$3-C6)/$C$3,1)</f>
        <v>1</v>
      </c>
      <c r="D5" s="91">
        <f t="shared" ref="D5:AN5" si="0">IFERROR(($C$3-D6)/$C$3,1)</f>
        <v>1</v>
      </c>
      <c r="E5" s="91">
        <f t="shared" si="0"/>
        <v>1</v>
      </c>
      <c r="F5" s="91">
        <f t="shared" si="0"/>
        <v>1</v>
      </c>
      <c r="G5" s="91">
        <f t="shared" si="0"/>
        <v>1</v>
      </c>
      <c r="H5" s="91">
        <f t="shared" si="0"/>
        <v>1</v>
      </c>
      <c r="I5" s="91">
        <f t="shared" si="0"/>
        <v>1</v>
      </c>
      <c r="J5" s="91">
        <f t="shared" si="0"/>
        <v>1</v>
      </c>
      <c r="K5" s="91">
        <f t="shared" si="0"/>
        <v>1</v>
      </c>
      <c r="L5" s="91">
        <f t="shared" si="0"/>
        <v>1</v>
      </c>
      <c r="M5" s="91">
        <f t="shared" si="0"/>
        <v>1</v>
      </c>
      <c r="N5" s="91">
        <f t="shared" si="0"/>
        <v>1</v>
      </c>
      <c r="O5" s="91">
        <f t="shared" si="0"/>
        <v>1</v>
      </c>
      <c r="P5" s="91">
        <f t="shared" si="0"/>
        <v>1</v>
      </c>
      <c r="Q5" s="91">
        <f t="shared" si="0"/>
        <v>1</v>
      </c>
      <c r="R5" s="91">
        <f t="shared" si="0"/>
        <v>1.157407407396486E-5</v>
      </c>
      <c r="S5" s="91">
        <f t="shared" si="0"/>
        <v>1</v>
      </c>
      <c r="T5" s="91">
        <f t="shared" si="0"/>
        <v>1</v>
      </c>
      <c r="U5" s="91">
        <f t="shared" si="0"/>
        <v>1</v>
      </c>
      <c r="V5" s="91">
        <f t="shared" si="0"/>
        <v>1</v>
      </c>
      <c r="W5" s="91">
        <f t="shared" si="0"/>
        <v>1</v>
      </c>
      <c r="X5" s="91">
        <f t="shared" si="0"/>
        <v>1</v>
      </c>
      <c r="Y5" s="91">
        <f t="shared" si="0"/>
        <v>1</v>
      </c>
      <c r="Z5" s="91">
        <f t="shared" si="0"/>
        <v>0.9243055555555556</v>
      </c>
      <c r="AA5" s="91">
        <f t="shared" si="0"/>
        <v>1</v>
      </c>
      <c r="AB5" s="91">
        <f t="shared" si="0"/>
        <v>0.76944444444444449</v>
      </c>
      <c r="AC5" s="91">
        <f t="shared" si="0"/>
        <v>1.157407407396486E-5</v>
      </c>
      <c r="AD5" s="91">
        <f t="shared" si="0"/>
        <v>1</v>
      </c>
      <c r="AE5" s="91">
        <f t="shared" si="0"/>
        <v>6.9444444444440501E-4</v>
      </c>
      <c r="AF5" s="91">
        <f t="shared" si="0"/>
        <v>1</v>
      </c>
      <c r="AG5" s="91">
        <f t="shared" si="0"/>
        <v>1</v>
      </c>
      <c r="AH5" s="91">
        <f t="shared" si="0"/>
        <v>1</v>
      </c>
      <c r="AI5" s="91">
        <f t="shared" si="0"/>
        <v>1</v>
      </c>
      <c r="AJ5" s="91">
        <f t="shared" si="0"/>
        <v>1</v>
      </c>
      <c r="AK5" s="91">
        <f t="shared" si="0"/>
        <v>1</v>
      </c>
      <c r="AL5" s="91">
        <f t="shared" si="0"/>
        <v>1</v>
      </c>
      <c r="AM5" s="91">
        <f t="shared" si="0"/>
        <v>1</v>
      </c>
      <c r="AN5" s="91">
        <f t="shared" si="0"/>
        <v>1</v>
      </c>
    </row>
    <row r="6" spans="1:40" ht="29.1" hidden="1" customHeight="1">
      <c r="A6" s="86" t="s">
        <v>155</v>
      </c>
      <c r="B6" s="92">
        <f>SUMIFS(WTG_BD!$T:$T,WTG_BD!$F:$F,"&gt;="&amp;Analytices!$B$2,WTG_BD!$F:$F,"&lt;="&amp;Analytices!$B$3,WTG_BD!$G:$G,B4)</f>
        <v>0</v>
      </c>
      <c r="C6" s="92">
        <f>SUMIFS(WTG_BD!$T:$T,WTG_BD!$F:$F,"&gt;="&amp;Analytices!$B$2,WTG_BD!$F:$F,"&lt;="&amp;Analytices!$B$3,WTG_BD!$G:$G,C4)</f>
        <v>0</v>
      </c>
      <c r="D6" s="92">
        <f>SUMIFS(WTG_BD!$T:$T,WTG_BD!$F:$F,"&gt;="&amp;Analytices!$B$2,WTG_BD!$F:$F,"&lt;="&amp;Analytices!$B$3,WTG_BD!$G:$G,D4)</f>
        <v>0</v>
      </c>
      <c r="E6" s="92">
        <f>SUMIFS(WTG_BD!$T:$T,WTG_BD!$F:$F,"&gt;="&amp;Analytices!$B$2,WTG_BD!$F:$F,"&lt;="&amp;Analytices!$B$3,WTG_BD!$G:$G,E4)</f>
        <v>0</v>
      </c>
      <c r="F6" s="92">
        <f>SUMIFS(WTG_BD!$T:$T,WTG_BD!$F:$F,"&gt;="&amp;Analytices!$B$2,WTG_BD!$F:$F,"&lt;="&amp;Analytices!$B$3,WTG_BD!$G:$G,F4)</f>
        <v>0</v>
      </c>
      <c r="G6" s="92">
        <f>SUMIFS(WTG_BD!$T:$T,WTG_BD!$F:$F,"&gt;="&amp;Analytices!$B$2,WTG_BD!$F:$F,"&lt;="&amp;Analytices!$B$3,WTG_BD!$G:$G,G4)</f>
        <v>0</v>
      </c>
      <c r="H6" s="92">
        <f>SUMIFS(WTG_BD!$T:$T,WTG_BD!$F:$F,"&gt;="&amp;Analytices!$B$2,WTG_BD!$F:$F,"&lt;="&amp;Analytices!$B$3,WTG_BD!$G:$G,H4)</f>
        <v>0</v>
      </c>
      <c r="I6" s="92">
        <f>SUMIFS(WTG_BD!$T:$T,WTG_BD!$F:$F,"&gt;="&amp;Analytices!$B$2,WTG_BD!$F:$F,"&lt;="&amp;Analytices!$B$3,WTG_BD!$G:$G,I4)</f>
        <v>0</v>
      </c>
      <c r="J6" s="92">
        <f>SUMIFS(WTG_BD!$T:$T,WTG_BD!$F:$F,"&gt;="&amp;Analytices!$B$2,WTG_BD!$F:$F,"&lt;="&amp;Analytices!$B$3,WTG_BD!$G:$G,J4)</f>
        <v>0</v>
      </c>
      <c r="K6" s="92">
        <f>SUMIFS(WTG_BD!$T:$T,WTG_BD!$F:$F,"&gt;="&amp;Analytices!$B$2,WTG_BD!$F:$F,"&lt;="&amp;Analytices!$B$3,WTG_BD!$G:$G,K4)</f>
        <v>0</v>
      </c>
      <c r="L6" s="92">
        <f>SUMIFS(WTG_BD!$T:$T,WTG_BD!$F:$F,"&gt;="&amp;Analytices!$B$2,WTG_BD!$F:$F,"&lt;="&amp;Analytices!$B$3,WTG_BD!$G:$G,L4)</f>
        <v>0</v>
      </c>
      <c r="M6" s="92">
        <f>SUMIFS(WTG_BD!$T:$T,WTG_BD!$F:$F,"&gt;="&amp;Analytices!$B$2,WTG_BD!$F:$F,"&lt;="&amp;Analytices!$B$3,WTG_BD!$G:$G,M4)</f>
        <v>0</v>
      </c>
      <c r="N6" s="92">
        <f>SUMIFS(WTG_BD!$T:$T,WTG_BD!$F:$F,"&gt;="&amp;Analytices!$B$2,WTG_BD!$F:$F,"&lt;="&amp;Analytices!$B$3,WTG_BD!$G:$G,N4)</f>
        <v>0</v>
      </c>
      <c r="O6" s="92">
        <f>SUMIFS(WTG_BD!$T:$T,WTG_BD!$F:$F,"&gt;="&amp;Analytices!$B$2,WTG_BD!$F:$F,"&lt;="&amp;Analytices!$B$3,WTG_BD!$G:$G,O4)</f>
        <v>0</v>
      </c>
      <c r="P6" s="92">
        <f>SUMIFS(WTG_BD!$T:$T,WTG_BD!$F:$F,"&gt;="&amp;Analytices!$B$2,WTG_BD!$F:$F,"&lt;="&amp;Analytices!$B$3,WTG_BD!$G:$G,P4)</f>
        <v>0</v>
      </c>
      <c r="Q6" s="92">
        <f>SUMIFS(WTG_BD!$T:$T,WTG_BD!$F:$F,"&gt;="&amp;Analytices!$B$2,WTG_BD!$F:$F,"&lt;="&amp;Analytices!$B$3,WTG_BD!$G:$G,Q4)</f>
        <v>0</v>
      </c>
      <c r="R6" s="92">
        <f>SUMIFS(WTG_BD!$T:$T,WTG_BD!$F:$F,"&gt;="&amp;Analytices!$B$2,WTG_BD!$F:$F,"&lt;="&amp;Analytices!$B$3,WTG_BD!$G:$G,R4)</f>
        <v>23.999722222222225</v>
      </c>
      <c r="S6" s="92">
        <f>SUMIFS(WTG_BD!$T:$T,WTG_BD!$F:$F,"&gt;="&amp;Analytices!$B$2,WTG_BD!$F:$F,"&lt;="&amp;Analytices!$B$3,WTG_BD!$G:$G,S4)</f>
        <v>0</v>
      </c>
      <c r="T6" s="92">
        <f>SUMIFS(WTG_BD!$T:$T,WTG_BD!$F:$F,"&gt;="&amp;Analytices!$B$2,WTG_BD!$F:$F,"&lt;="&amp;Analytices!$B$3,WTG_BD!$G:$G,T4)</f>
        <v>0</v>
      </c>
      <c r="U6" s="92">
        <f>SUMIFS(WTG_BD!$T:$T,WTG_BD!$F:$F,"&gt;="&amp;Analytices!$B$2,WTG_BD!$F:$F,"&lt;="&amp;Analytices!$B$3,WTG_BD!$G:$G,U4)</f>
        <v>0</v>
      </c>
      <c r="V6" s="92">
        <f>SUMIFS(WTG_BD!$T:$T,WTG_BD!$F:$F,"&gt;="&amp;Analytices!$B$2,WTG_BD!$F:$F,"&lt;="&amp;Analytices!$B$3,WTG_BD!$G:$G,V4)</f>
        <v>0</v>
      </c>
      <c r="W6" s="92">
        <f>SUMIFS(WTG_BD!$T:$T,WTG_BD!$F:$F,"&gt;="&amp;Analytices!$B$2,WTG_BD!$F:$F,"&lt;="&amp;Analytices!$B$3,WTG_BD!$G:$G,W4)</f>
        <v>0</v>
      </c>
      <c r="X6" s="92">
        <f>SUMIFS(WTG_BD!$T:$T,WTG_BD!$F:$F,"&gt;="&amp;Analytices!$B$2,WTG_BD!$F:$F,"&lt;="&amp;Analytices!$B$3,WTG_BD!$G:$G,X4)</f>
        <v>0</v>
      </c>
      <c r="Y6" s="92">
        <f>SUMIFS(WTG_BD!$T:$T,WTG_BD!$F:$F,"&gt;="&amp;Analytices!$B$2,WTG_BD!$F:$F,"&lt;="&amp;Analytices!$B$3,WTG_BD!$G:$G,Y4)</f>
        <v>0</v>
      </c>
      <c r="Z6" s="92">
        <f>SUMIFS(WTG_BD!$T:$T,WTG_BD!$F:$F,"&gt;="&amp;Analytices!$B$2,WTG_BD!$F:$F,"&lt;="&amp;Analytices!$B$3,WTG_BD!$G:$G,Z4)</f>
        <v>1.8166666666666655</v>
      </c>
      <c r="AA6" s="92">
        <f>SUMIFS(WTG_BD!$T:$T,WTG_BD!$F:$F,"&gt;="&amp;Analytices!$B$2,WTG_BD!$F:$F,"&lt;="&amp;Analytices!$B$3,WTG_BD!$G:$G,AA4)</f>
        <v>0</v>
      </c>
      <c r="AB6" s="92">
        <f>SUMIFS(WTG_BD!$T:$T,WTG_BD!$F:$F,"&gt;="&amp;Analytices!$B$2,WTG_BD!$F:$F,"&lt;="&amp;Analytices!$B$3,WTG_BD!$G:$G,AB4)</f>
        <v>5.5333333333333323</v>
      </c>
      <c r="AC6" s="92">
        <f>SUMIFS(WTG_BD!$T:$T,WTG_BD!$F:$F,"&gt;="&amp;Analytices!$B$2,WTG_BD!$F:$F,"&lt;="&amp;Analytices!$B$3,WTG_BD!$G:$G,AC4)</f>
        <v>23.999722222222225</v>
      </c>
      <c r="AD6" s="92">
        <f>SUMIFS(WTG_BD!$T:$T,WTG_BD!$F:$F,"&gt;="&amp;Analytices!$B$2,WTG_BD!$F:$F,"&lt;="&amp;Analytices!$B$3,WTG_BD!$G:$G,AD4)</f>
        <v>0</v>
      </c>
      <c r="AE6" s="92">
        <f>SUMIFS(WTG_BD!$T:$T,WTG_BD!$F:$F,"&gt;="&amp;Analytices!$B$2,WTG_BD!$F:$F,"&lt;="&amp;Analytices!$B$3,WTG_BD!$G:$G,AE4)</f>
        <v>23.983333333333334</v>
      </c>
      <c r="AF6" s="92">
        <f>SUMIFS(WTG_BD!$T:$T,WTG_BD!$F:$F,"&gt;="&amp;Analytices!$B$2,WTG_BD!$F:$F,"&lt;="&amp;Analytices!$B$3,WTG_BD!$G:$G,AF4)</f>
        <v>0</v>
      </c>
      <c r="AG6" s="92">
        <f>SUMIFS(WTG_BD!$T:$T,WTG_BD!$F:$F,"&gt;="&amp;Analytices!$B$2,WTG_BD!$F:$F,"&lt;="&amp;Analytices!$B$3,WTG_BD!$G:$G,AG4)</f>
        <v>0</v>
      </c>
      <c r="AH6" s="92">
        <f>SUMIFS(WTG_BD!$T:$T,WTG_BD!$F:$F,"&gt;="&amp;Analytices!$B$2,WTG_BD!$F:$F,"&lt;="&amp;Analytices!$B$3,WTG_BD!$G:$G,AH4)</f>
        <v>0</v>
      </c>
      <c r="AI6" s="92">
        <f>SUMIFS(WTG_BD!$T:$T,WTG_BD!$F:$F,"&gt;="&amp;Analytices!$B$2,WTG_BD!$F:$F,"&lt;="&amp;Analytices!$B$3,WTG_BD!$G:$G,AI4)</f>
        <v>0</v>
      </c>
      <c r="AJ6" s="92">
        <f>SUMIFS(WTG_BD!$T:$T,WTG_BD!$F:$F,"&gt;="&amp;Analytices!$B$2,WTG_BD!$F:$F,"&lt;="&amp;Analytices!$B$3,WTG_BD!$G:$G,AJ4)</f>
        <v>0</v>
      </c>
      <c r="AK6" s="92">
        <f>SUMIFS(WTG_BD!$T:$T,WTG_BD!$F:$F,"&gt;="&amp;Analytices!$B$2,WTG_BD!$F:$F,"&lt;="&amp;Analytices!$B$3,WTG_BD!$G:$G,AK4)</f>
        <v>0</v>
      </c>
      <c r="AL6" s="92">
        <f>SUMIFS(WTG_BD!$T:$T,WTG_BD!$F:$F,"&gt;="&amp;Analytices!$B$2,WTG_BD!$F:$F,"&lt;="&amp;Analytices!$B$3,WTG_BD!$G:$G,AL4)</f>
        <v>0</v>
      </c>
      <c r="AM6" s="92">
        <f>SUMIFS(WTG_BD!$T:$T,WTG_BD!$F:$F,"&gt;="&amp;Analytices!$B$2,WTG_BD!$F:$F,"&lt;="&amp;Analytices!$B$3,WTG_BD!$G:$G,AM4)</f>
        <v>0</v>
      </c>
      <c r="AN6" s="92">
        <f>SUMIFS(WTG_BD!$T:$T,WTG_BD!$F:$F,"&gt;="&amp;Analytices!$B$2,WTG_BD!$F:$F,"&lt;="&amp;Analytices!$B$3,WTG_BD!$G:$G,AN4)</f>
        <v>0</v>
      </c>
    </row>
    <row r="7" spans="1:40" ht="29.1" customHeight="1">
      <c r="A7" s="85" t="s">
        <v>156</v>
      </c>
      <c r="B7" s="93">
        <f>($C$3-SUM(B8:B12))/$C$3</f>
        <v>1</v>
      </c>
      <c r="C7" s="93">
        <f t="shared" ref="C7:AN7" si="1">($C$3-SUM(C8:C12))/$C$3</f>
        <v>1</v>
      </c>
      <c r="D7" s="93">
        <f t="shared" si="1"/>
        <v>1</v>
      </c>
      <c r="E7" s="93">
        <f t="shared" si="1"/>
        <v>1</v>
      </c>
      <c r="F7" s="93">
        <f t="shared" si="1"/>
        <v>1</v>
      </c>
      <c r="G7" s="93">
        <f t="shared" si="1"/>
        <v>1</v>
      </c>
      <c r="H7" s="93">
        <f t="shared" si="1"/>
        <v>1</v>
      </c>
      <c r="I7" s="93">
        <f t="shared" si="1"/>
        <v>1</v>
      </c>
      <c r="J7" s="93">
        <f t="shared" si="1"/>
        <v>1</v>
      </c>
      <c r="K7" s="93">
        <f t="shared" si="1"/>
        <v>1</v>
      </c>
      <c r="L7" s="93">
        <f t="shared" si="1"/>
        <v>1</v>
      </c>
      <c r="M7" s="93">
        <f t="shared" si="1"/>
        <v>1</v>
      </c>
      <c r="N7" s="93">
        <f t="shared" si="1"/>
        <v>1</v>
      </c>
      <c r="O7" s="93">
        <f t="shared" si="1"/>
        <v>1</v>
      </c>
      <c r="P7" s="93">
        <f t="shared" si="1"/>
        <v>1</v>
      </c>
      <c r="Q7" s="93">
        <f t="shared" si="1"/>
        <v>1</v>
      </c>
      <c r="R7" s="93">
        <f t="shared" si="1"/>
        <v>1</v>
      </c>
      <c r="S7" s="93">
        <f t="shared" si="1"/>
        <v>1</v>
      </c>
      <c r="T7" s="93">
        <f t="shared" si="1"/>
        <v>1</v>
      </c>
      <c r="U7" s="93">
        <f t="shared" si="1"/>
        <v>1</v>
      </c>
      <c r="V7" s="93">
        <f t="shared" si="1"/>
        <v>1</v>
      </c>
      <c r="W7" s="93">
        <f t="shared" si="1"/>
        <v>1</v>
      </c>
      <c r="X7" s="93">
        <f t="shared" si="1"/>
        <v>1</v>
      </c>
      <c r="Y7" s="93">
        <f t="shared" si="1"/>
        <v>1</v>
      </c>
      <c r="Z7" s="93">
        <f t="shared" si="1"/>
        <v>1</v>
      </c>
      <c r="AA7" s="93">
        <f t="shared" si="1"/>
        <v>1</v>
      </c>
      <c r="AB7" s="93">
        <f t="shared" si="1"/>
        <v>1</v>
      </c>
      <c r="AC7" s="93">
        <f t="shared" si="1"/>
        <v>1</v>
      </c>
      <c r="AD7" s="93">
        <f t="shared" si="1"/>
        <v>1</v>
      </c>
      <c r="AE7" s="93">
        <f t="shared" si="1"/>
        <v>1</v>
      </c>
      <c r="AF7" s="93">
        <f t="shared" si="1"/>
        <v>1</v>
      </c>
      <c r="AG7" s="93">
        <f t="shared" si="1"/>
        <v>1</v>
      </c>
      <c r="AH7" s="93">
        <f t="shared" si="1"/>
        <v>1</v>
      </c>
      <c r="AI7" s="93">
        <f t="shared" si="1"/>
        <v>1</v>
      </c>
      <c r="AJ7" s="93">
        <f t="shared" si="1"/>
        <v>1</v>
      </c>
      <c r="AK7" s="93">
        <f t="shared" si="1"/>
        <v>1</v>
      </c>
      <c r="AL7" s="93">
        <f t="shared" si="1"/>
        <v>1</v>
      </c>
      <c r="AM7" s="93">
        <f t="shared" si="1"/>
        <v>1</v>
      </c>
      <c r="AN7" s="93">
        <f t="shared" si="1"/>
        <v>1</v>
      </c>
    </row>
    <row r="8" spans="1:40" ht="29.1" hidden="1" customHeight="1">
      <c r="A8" s="86" t="s">
        <v>157</v>
      </c>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row>
    <row r="9" spans="1:40" ht="29.1" hidden="1" customHeight="1">
      <c r="A9" s="86" t="s">
        <v>158</v>
      </c>
      <c r="B9" s="92">
        <f>SUMIFS(IGA_BD!$Q:$Q,IGA_BD!$G:$G,(VLOOKUP(B$4,'Basic Data'!$A:$F,6,0)),IGA_BD!$F:$F,"&gt;="&amp;Analytices!$B$2,IGA_BD!$F:$F,"&lt;="&amp;Analytices!$B$3)</f>
        <v>0</v>
      </c>
      <c r="C9" s="92">
        <f>SUMIFS(IGA_BD!$Q:$Q,IGA_BD!$G:$G,(VLOOKUP(C$4,'Basic Data'!$A:$F,6,0)),IGA_BD!$F:$F,"&gt;="&amp;Analytices!$B$2,IGA_BD!$F:$F,"&lt;="&amp;Analytices!$B$3)</f>
        <v>0</v>
      </c>
      <c r="D9" s="92">
        <f>SUMIFS(IGA_BD!$Q:$Q,IGA_BD!$G:$G,(VLOOKUP(D$4,'Basic Data'!$A:$F,6,0)),IGA_BD!$F:$F,"&gt;="&amp;Analytices!$B$2,IGA_BD!$F:$F,"&lt;="&amp;Analytices!$B$3)</f>
        <v>0</v>
      </c>
      <c r="E9" s="92">
        <f>SUMIFS(IGA_BD!$Q:$Q,IGA_BD!$G:$G,(VLOOKUP(E$4,'Basic Data'!$A:$F,6,0)),IGA_BD!$F:$F,"&gt;="&amp;Analytices!$B$2,IGA_BD!$F:$F,"&lt;="&amp;Analytices!$B$3)</f>
        <v>0</v>
      </c>
      <c r="F9" s="92">
        <f>SUMIFS(IGA_BD!$Q:$Q,IGA_BD!$G:$G,(VLOOKUP(F$4,'Basic Data'!$A:$F,6,0)),IGA_BD!$F:$F,"&gt;="&amp;Analytices!$B$2,IGA_BD!$F:$F,"&lt;="&amp;Analytices!$B$3)</f>
        <v>0</v>
      </c>
      <c r="G9" s="92">
        <f>SUMIFS(IGA_BD!$Q:$Q,IGA_BD!$G:$G,(VLOOKUP(G$4,'Basic Data'!$A:$F,6,0)),IGA_BD!$F:$F,"&gt;="&amp;Analytices!$B$2,IGA_BD!$F:$F,"&lt;="&amp;Analytices!$B$3)</f>
        <v>0</v>
      </c>
      <c r="H9" s="92">
        <f>SUMIFS(IGA_BD!$Q:$Q,IGA_BD!$G:$G,(VLOOKUP(H$4,'Basic Data'!$A:$F,6,0)),IGA_BD!$F:$F,"&gt;="&amp;Analytices!$B$2,IGA_BD!$F:$F,"&lt;="&amp;Analytices!$B$3)</f>
        <v>0</v>
      </c>
      <c r="I9" s="92">
        <f>SUMIFS(IGA_BD!$Q:$Q,IGA_BD!$G:$G,(VLOOKUP(I$4,'Basic Data'!$A:$F,6,0)),IGA_BD!$F:$F,"&gt;="&amp;Analytices!$B$2,IGA_BD!$F:$F,"&lt;="&amp;Analytices!$B$3)</f>
        <v>0</v>
      </c>
      <c r="J9" s="92">
        <f>SUMIFS(IGA_BD!$Q:$Q,IGA_BD!$G:$G,(VLOOKUP(J$4,'Basic Data'!$A:$F,6,0)),IGA_BD!$F:$F,"&gt;="&amp;Analytices!$B$2,IGA_BD!$F:$F,"&lt;="&amp;Analytices!$B$3)</f>
        <v>0</v>
      </c>
      <c r="K9" s="92">
        <f>SUMIFS(IGA_BD!$Q:$Q,IGA_BD!$G:$G,(VLOOKUP(K$4,'Basic Data'!$A:$F,6,0)),IGA_BD!$F:$F,"&gt;="&amp;Analytices!$B$2,IGA_BD!$F:$F,"&lt;="&amp;Analytices!$B$3)</f>
        <v>0</v>
      </c>
      <c r="L9" s="92">
        <f>SUMIFS(IGA_BD!$Q:$Q,IGA_BD!$G:$G,(VLOOKUP(L$4,'Basic Data'!$A:$F,6,0)),IGA_BD!$F:$F,"&gt;="&amp;Analytices!$B$2,IGA_BD!$F:$F,"&lt;="&amp;Analytices!$B$3)</f>
        <v>0</v>
      </c>
      <c r="M9" s="92">
        <f>SUMIFS(IGA_BD!$Q:$Q,IGA_BD!$G:$G,(VLOOKUP(M$4,'Basic Data'!$A:$F,6,0)),IGA_BD!$F:$F,"&gt;="&amp;Analytices!$B$2,IGA_BD!$F:$F,"&lt;="&amp;Analytices!$B$3)</f>
        <v>0</v>
      </c>
      <c r="N9" s="92">
        <f>SUMIFS(IGA_BD!$Q:$Q,IGA_BD!$G:$G,(VLOOKUP(N$4,'Basic Data'!$A:$F,6,0)),IGA_BD!$F:$F,"&gt;="&amp;Analytices!$B$2,IGA_BD!$F:$F,"&lt;="&amp;Analytices!$B$3)</f>
        <v>0</v>
      </c>
      <c r="O9" s="92">
        <f>SUMIFS(IGA_BD!$Q:$Q,IGA_BD!$G:$G,(VLOOKUP(O$4,'Basic Data'!$A:$F,6,0)),IGA_BD!$F:$F,"&gt;="&amp;Analytices!$B$2,IGA_BD!$F:$F,"&lt;="&amp;Analytices!$B$3)</f>
        <v>0</v>
      </c>
      <c r="P9" s="92">
        <f>SUMIFS(IGA_BD!$Q:$Q,IGA_BD!$G:$G,(VLOOKUP(P$4,'Basic Data'!$A:$F,6,0)),IGA_BD!$F:$F,"&gt;="&amp;Analytices!$B$2,IGA_BD!$F:$F,"&lt;="&amp;Analytices!$B$3)</f>
        <v>0</v>
      </c>
      <c r="Q9" s="92">
        <f>SUMIFS(IGA_BD!$Q:$Q,IGA_BD!$G:$G,(VLOOKUP(Q$4,'Basic Data'!$A:$F,6,0)),IGA_BD!$F:$F,"&gt;="&amp;Analytices!$B$2,IGA_BD!$F:$F,"&lt;="&amp;Analytices!$B$3)</f>
        <v>0</v>
      </c>
      <c r="R9" s="92">
        <f>SUMIFS(IGA_BD!$Q:$Q,IGA_BD!$G:$G,(VLOOKUP(R$4,'Basic Data'!$A:$F,6,0)),IGA_BD!$F:$F,"&gt;="&amp;Analytices!$B$2,IGA_BD!$F:$F,"&lt;="&amp;Analytices!$B$3)</f>
        <v>0</v>
      </c>
      <c r="S9" s="92">
        <f>SUMIFS(IGA_BD!$Q:$Q,IGA_BD!$G:$G,(VLOOKUP(S$4,'Basic Data'!$A:$F,6,0)),IGA_BD!$F:$F,"&gt;="&amp;Analytices!$B$2,IGA_BD!$F:$F,"&lt;="&amp;Analytices!$B$3)</f>
        <v>0</v>
      </c>
      <c r="T9" s="92">
        <f>SUMIFS(IGA_BD!$Q:$Q,IGA_BD!$G:$G,(VLOOKUP(T$4,'Basic Data'!$A:$F,6,0)),IGA_BD!$F:$F,"&gt;="&amp;Analytices!$B$2,IGA_BD!$F:$F,"&lt;="&amp;Analytices!$B$3)</f>
        <v>0</v>
      </c>
      <c r="U9" s="92">
        <f>SUMIFS(IGA_BD!$Q:$Q,IGA_BD!$G:$G,(VLOOKUP(U$4,'Basic Data'!$A:$F,6,0)),IGA_BD!$F:$F,"&gt;="&amp;Analytices!$B$2,IGA_BD!$F:$F,"&lt;="&amp;Analytices!$B$3)</f>
        <v>0</v>
      </c>
      <c r="V9" s="92">
        <f>SUMIFS(IGA_BD!$Q:$Q,IGA_BD!$G:$G,(VLOOKUP(V$4,'Basic Data'!$A:$F,6,0)),IGA_BD!$F:$F,"&gt;="&amp;Analytices!$B$2,IGA_BD!$F:$F,"&lt;="&amp;Analytices!$B$3)</f>
        <v>0</v>
      </c>
      <c r="W9" s="92">
        <f>SUMIFS(IGA_BD!$Q:$Q,IGA_BD!$G:$G,(VLOOKUP(W$4,'Basic Data'!$A:$F,6,0)),IGA_BD!$F:$F,"&gt;="&amp;Analytices!$B$2,IGA_BD!$F:$F,"&lt;="&amp;Analytices!$B$3)</f>
        <v>0</v>
      </c>
      <c r="X9" s="92">
        <f>SUMIFS(IGA_BD!$Q:$Q,IGA_BD!$G:$G,(VLOOKUP(X$4,'Basic Data'!$A:$F,6,0)),IGA_BD!$F:$F,"&gt;="&amp;Analytices!$B$2,IGA_BD!$F:$F,"&lt;="&amp;Analytices!$B$3)</f>
        <v>0</v>
      </c>
      <c r="Y9" s="92">
        <f>SUMIFS(IGA_BD!$Q:$Q,IGA_BD!$G:$G,(VLOOKUP(Y$4,'Basic Data'!$A:$F,6,0)),IGA_BD!$F:$F,"&gt;="&amp;Analytices!$B$2,IGA_BD!$F:$F,"&lt;="&amp;Analytices!$B$3)</f>
        <v>0</v>
      </c>
      <c r="Z9" s="92">
        <f>SUMIFS(IGA_BD!$Q:$Q,IGA_BD!$G:$G,(VLOOKUP(Z$4,'Basic Data'!$A:$F,6,0)),IGA_BD!$F:$F,"&gt;="&amp;Analytices!$B$2,IGA_BD!$F:$F,"&lt;="&amp;Analytices!$B$3)</f>
        <v>0</v>
      </c>
      <c r="AA9" s="92">
        <f>SUMIFS(IGA_BD!$Q:$Q,IGA_BD!$G:$G,(VLOOKUP(AA$4,'Basic Data'!$A:$F,6,0)),IGA_BD!$F:$F,"&gt;="&amp;Analytices!$B$2,IGA_BD!$F:$F,"&lt;="&amp;Analytices!$B$3)</f>
        <v>0</v>
      </c>
      <c r="AB9" s="92">
        <f>SUMIFS(IGA_BD!$Q:$Q,IGA_BD!$G:$G,(VLOOKUP(AB$4,'Basic Data'!$A:$F,6,0)),IGA_BD!$F:$F,"&gt;="&amp;Analytices!$B$2,IGA_BD!$F:$F,"&lt;="&amp;Analytices!$B$3)</f>
        <v>0</v>
      </c>
      <c r="AC9" s="92">
        <f>SUMIFS(IGA_BD!$Q:$Q,IGA_BD!$G:$G,(VLOOKUP(AC$4,'Basic Data'!$A:$F,6,0)),IGA_BD!$F:$F,"&gt;="&amp;Analytices!$B$2,IGA_BD!$F:$F,"&lt;="&amp;Analytices!$B$3)</f>
        <v>0</v>
      </c>
      <c r="AD9" s="92">
        <f>SUMIFS(IGA_BD!$Q:$Q,IGA_BD!$G:$G,(VLOOKUP(AD$4,'Basic Data'!$A:$F,6,0)),IGA_BD!$F:$F,"&gt;="&amp;Analytices!$B$2,IGA_BD!$F:$F,"&lt;="&amp;Analytices!$B$3)</f>
        <v>0</v>
      </c>
      <c r="AE9" s="92">
        <f>SUMIFS(IGA_BD!$Q:$Q,IGA_BD!$G:$G,(VLOOKUP(AE$4,'Basic Data'!$A:$F,6,0)),IGA_BD!$F:$F,"&gt;="&amp;Analytices!$B$2,IGA_BD!$F:$F,"&lt;="&amp;Analytices!$B$3)</f>
        <v>0</v>
      </c>
      <c r="AF9" s="92">
        <f>SUMIFS(IGA_BD!$Q:$Q,IGA_BD!$G:$G,(VLOOKUP(AF$4,'Basic Data'!$A:$F,6,0)),IGA_BD!$F:$F,"&gt;="&amp;Analytices!$B$2,IGA_BD!$F:$F,"&lt;="&amp;Analytices!$B$3)</f>
        <v>0</v>
      </c>
      <c r="AG9" s="92">
        <f>SUMIFS(IGA_BD!$Q:$Q,IGA_BD!$G:$G,(VLOOKUP(AG$4,'Basic Data'!$A:$F,6,0)),IGA_BD!$F:$F,"&gt;="&amp;Analytices!$B$2,IGA_BD!$F:$F,"&lt;="&amp;Analytices!$B$3)</f>
        <v>0</v>
      </c>
      <c r="AH9" s="92">
        <f>SUMIFS(IGA_BD!$Q:$Q,IGA_BD!$G:$G,(VLOOKUP(AH$4,'Basic Data'!$A:$F,6,0)),IGA_BD!$F:$F,"&gt;="&amp;Analytices!$B$2,IGA_BD!$F:$F,"&lt;="&amp;Analytices!$B$3)</f>
        <v>0</v>
      </c>
      <c r="AI9" s="92">
        <f>SUMIFS(IGA_BD!$Q:$Q,IGA_BD!$G:$G,(VLOOKUP(AI$4,'Basic Data'!$A:$F,6,0)),IGA_BD!$F:$F,"&gt;="&amp;Analytices!$B$2,IGA_BD!$F:$F,"&lt;="&amp;Analytices!$B$3)</f>
        <v>0</v>
      </c>
      <c r="AJ9" s="92">
        <f>SUMIFS(IGA_BD!$Q:$Q,IGA_BD!$G:$G,(VLOOKUP(AJ$4,'Basic Data'!$A:$F,6,0)),IGA_BD!$F:$F,"&gt;="&amp;Analytices!$B$2,IGA_BD!$F:$F,"&lt;="&amp;Analytices!$B$3)</f>
        <v>0</v>
      </c>
      <c r="AK9" s="92">
        <f>SUMIFS(IGA_BD!$Q:$Q,IGA_BD!$G:$G,(VLOOKUP(AK$4,'Basic Data'!$A:$F,6,0)),IGA_BD!$F:$F,"&gt;="&amp;Analytices!$B$2,IGA_BD!$F:$F,"&lt;="&amp;Analytices!$B$3)</f>
        <v>0</v>
      </c>
      <c r="AL9" s="92">
        <f>SUMIFS(IGA_BD!$Q:$Q,IGA_BD!$G:$G,(VLOOKUP(AL$4,'Basic Data'!$A:$F,6,0)),IGA_BD!$F:$F,"&gt;="&amp;Analytices!$B$2,IGA_BD!$F:$F,"&lt;="&amp;Analytices!$B$3)</f>
        <v>0</v>
      </c>
      <c r="AM9" s="92">
        <f>SUMIFS(IGA_BD!$Q:$Q,IGA_BD!$G:$G,(VLOOKUP(AM$4,'Basic Data'!$A:$F,6,0)),IGA_BD!$F:$F,"&gt;="&amp;Analytices!$B$2,IGA_BD!$F:$F,"&lt;="&amp;Analytices!$B$3)</f>
        <v>0</v>
      </c>
      <c r="AN9" s="92">
        <f>SUMIFS(IGA_BD!$Q:$Q,IGA_BD!$G:$G,(VLOOKUP(AN$4,'Basic Data'!$A:$F,6,0)),IGA_BD!$F:$F,"&gt;="&amp;Analytices!$B$2,IGA_BD!$F:$F,"&lt;="&amp;Analytices!$B$3)</f>
        <v>0</v>
      </c>
    </row>
    <row r="10" spans="1:40" ht="29.1" hidden="1" customHeight="1">
      <c r="A10" s="86" t="s">
        <v>159</v>
      </c>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row>
    <row r="11" spans="1:40" ht="29.1" hidden="1" customHeight="1">
      <c r="A11" s="86" t="s">
        <v>160</v>
      </c>
      <c r="B11" s="94">
        <f>SUMIFS(Grid_BD!$R:$R,Grid_BD!$G:$G,(VLOOKUP(B$4,'Basic Data'!$A:$G,7,0)),Grid_BD!$F:$F,"&gt;="&amp;Analytices!$B$2,Grid_BD!$F:$F,"&lt;="&amp;Analytices!$B$3)</f>
        <v>0</v>
      </c>
      <c r="C11" s="94">
        <f>SUMIFS(Grid_BD!$R:$R,Grid_BD!$G:$G,(VLOOKUP(C$4,'Basic Data'!$A:$G,7,0)),Grid_BD!$F:$F,"&gt;="&amp;Analytices!$B$2,Grid_BD!$F:$F,"&lt;="&amp;Analytices!$B$3)</f>
        <v>0</v>
      </c>
      <c r="D11" s="94">
        <f>SUMIFS(Grid_BD!$R:$R,Grid_BD!$G:$G,(VLOOKUP(D$4,'Basic Data'!$A:$G,7,0)),Grid_BD!$F:$F,"&gt;="&amp;Analytices!$B$2,Grid_BD!$F:$F,"&lt;="&amp;Analytices!$B$3)</f>
        <v>0</v>
      </c>
      <c r="E11" s="94">
        <f>SUMIFS(Grid_BD!$R:$R,Grid_BD!$G:$G,(VLOOKUP(E$4,'Basic Data'!$A:$G,7,0)),Grid_BD!$F:$F,"&gt;="&amp;Analytices!$B$2,Grid_BD!$F:$F,"&lt;="&amp;Analytices!$B$3)</f>
        <v>0</v>
      </c>
      <c r="F11" s="94">
        <f>SUMIFS(Grid_BD!$R:$R,Grid_BD!$G:$G,(VLOOKUP(F$4,'Basic Data'!$A:$G,7,0)),Grid_BD!$F:$F,"&gt;="&amp;Analytices!$B$2,Grid_BD!$F:$F,"&lt;="&amp;Analytices!$B$3)</f>
        <v>0</v>
      </c>
      <c r="G11" s="94">
        <f>SUMIFS(Grid_BD!$R:$R,Grid_BD!$G:$G,(VLOOKUP(G$4,'Basic Data'!$A:$G,7,0)),Grid_BD!$F:$F,"&gt;="&amp;Analytices!$B$2,Grid_BD!$F:$F,"&lt;="&amp;Analytices!$B$3)</f>
        <v>0</v>
      </c>
      <c r="H11" s="94">
        <f>SUMIFS(Grid_BD!$R:$R,Grid_BD!$G:$G,(VLOOKUP(H$4,'Basic Data'!$A:$G,7,0)),Grid_BD!$F:$F,"&gt;="&amp;Analytices!$B$2,Grid_BD!$F:$F,"&lt;="&amp;Analytices!$B$3)</f>
        <v>0</v>
      </c>
      <c r="I11" s="94">
        <f>SUMIFS(Grid_BD!$R:$R,Grid_BD!$G:$G,(VLOOKUP(I$4,'Basic Data'!$A:$G,7,0)),Grid_BD!$F:$F,"&gt;="&amp;Analytices!$B$2,Grid_BD!$F:$F,"&lt;="&amp;Analytices!$B$3)</f>
        <v>0</v>
      </c>
      <c r="J11" s="94">
        <f>SUMIFS(Grid_BD!$R:$R,Grid_BD!$G:$G,(VLOOKUP(J$4,'Basic Data'!$A:$G,7,0)),Grid_BD!$F:$F,"&gt;="&amp;Analytices!$B$2,Grid_BD!$F:$F,"&lt;="&amp;Analytices!$B$3)</f>
        <v>0</v>
      </c>
      <c r="K11" s="94">
        <f>SUMIFS(Grid_BD!$R:$R,Grid_BD!$G:$G,(VLOOKUP(K$4,'Basic Data'!$A:$G,7,0)),Grid_BD!$F:$F,"&gt;="&amp;Analytices!$B$2,Grid_BD!$F:$F,"&lt;="&amp;Analytices!$B$3)</f>
        <v>0</v>
      </c>
      <c r="L11" s="94">
        <f>SUMIFS(Grid_BD!$R:$R,Grid_BD!$G:$G,(VLOOKUP(L$4,'Basic Data'!$A:$G,7,0)),Grid_BD!$F:$F,"&gt;="&amp;Analytices!$B$2,Grid_BD!$F:$F,"&lt;="&amp;Analytices!$B$3)</f>
        <v>0</v>
      </c>
      <c r="M11" s="94">
        <f>SUMIFS(Grid_BD!$R:$R,Grid_BD!$G:$G,(VLOOKUP(M$4,'Basic Data'!$A:$G,7,0)),Grid_BD!$F:$F,"&gt;="&amp;Analytices!$B$2,Grid_BD!$F:$F,"&lt;="&amp;Analytices!$B$3)</f>
        <v>0</v>
      </c>
      <c r="N11" s="94">
        <f>SUMIFS(Grid_BD!$R:$R,Grid_BD!$G:$G,(VLOOKUP(N$4,'Basic Data'!$A:$G,7,0)),Grid_BD!$F:$F,"&gt;="&amp;Analytices!$B$2,Grid_BD!$F:$F,"&lt;="&amp;Analytices!$B$3)</f>
        <v>0</v>
      </c>
      <c r="O11" s="94">
        <f>SUMIFS(Grid_BD!$R:$R,Grid_BD!$G:$G,(VLOOKUP(O$4,'Basic Data'!$A:$G,7,0)),Grid_BD!$F:$F,"&gt;="&amp;Analytices!$B$2,Grid_BD!$F:$F,"&lt;="&amp;Analytices!$B$3)</f>
        <v>0</v>
      </c>
      <c r="P11" s="94">
        <f>SUMIFS(Grid_BD!$R:$R,Grid_BD!$G:$G,(VLOOKUP(P$4,'Basic Data'!$A:$G,7,0)),Grid_BD!$F:$F,"&gt;="&amp;Analytices!$B$2,Grid_BD!$F:$F,"&lt;="&amp;Analytices!$B$3)</f>
        <v>0</v>
      </c>
      <c r="Q11" s="94">
        <f>SUMIFS(Grid_BD!$R:$R,Grid_BD!$G:$G,(VLOOKUP(Q$4,'Basic Data'!$A:$G,7,0)),Grid_BD!$F:$F,"&gt;="&amp;Analytices!$B$2,Grid_BD!$F:$F,"&lt;="&amp;Analytices!$B$3)</f>
        <v>0</v>
      </c>
      <c r="R11" s="94">
        <f>SUMIFS(Grid_BD!$R:$R,Grid_BD!$G:$G,(VLOOKUP(R$4,'Basic Data'!$A:$G,7,0)),Grid_BD!$F:$F,"&gt;="&amp;Analytices!$B$2,Grid_BD!$F:$F,"&lt;="&amp;Analytices!$B$3)</f>
        <v>0</v>
      </c>
      <c r="S11" s="94">
        <f>SUMIFS(Grid_BD!$R:$R,Grid_BD!$G:$G,(VLOOKUP(S$4,'Basic Data'!$A:$G,7,0)),Grid_BD!$F:$F,"&gt;="&amp;Analytices!$B$2,Grid_BD!$F:$F,"&lt;="&amp;Analytices!$B$3)</f>
        <v>0</v>
      </c>
      <c r="T11" s="94">
        <f>SUMIFS(Grid_BD!$R:$R,Grid_BD!$G:$G,(VLOOKUP(T$4,'Basic Data'!$A:$G,7,0)),Grid_BD!$F:$F,"&gt;="&amp;Analytices!$B$2,Grid_BD!$F:$F,"&lt;="&amp;Analytices!$B$3)</f>
        <v>0</v>
      </c>
      <c r="U11" s="94">
        <f>SUMIFS(Grid_BD!$R:$R,Grid_BD!$G:$G,(VLOOKUP(U$4,'Basic Data'!$A:$G,7,0)),Grid_BD!$F:$F,"&gt;="&amp;Analytices!$B$2,Grid_BD!$F:$F,"&lt;="&amp;Analytices!$B$3)</f>
        <v>0</v>
      </c>
      <c r="V11" s="94">
        <f>SUMIFS(Grid_BD!$R:$R,Grid_BD!$G:$G,(VLOOKUP(V$4,'Basic Data'!$A:$G,7,0)),Grid_BD!$F:$F,"&gt;="&amp;Analytices!$B$2,Grid_BD!$F:$F,"&lt;="&amp;Analytices!$B$3)</f>
        <v>0</v>
      </c>
      <c r="W11" s="94">
        <f>SUMIFS(Grid_BD!$R:$R,Grid_BD!$G:$G,(VLOOKUP(W$4,'Basic Data'!$A:$G,7,0)),Grid_BD!$F:$F,"&gt;="&amp;Analytices!$B$2,Grid_BD!$F:$F,"&lt;="&amp;Analytices!$B$3)</f>
        <v>0</v>
      </c>
      <c r="X11" s="94">
        <f>SUMIFS(Grid_BD!$R:$R,Grid_BD!$G:$G,(VLOOKUP(X$4,'Basic Data'!$A:$G,7,0)),Grid_BD!$F:$F,"&gt;="&amp;Analytices!$B$2,Grid_BD!$F:$F,"&lt;="&amp;Analytices!$B$3)</f>
        <v>0</v>
      </c>
      <c r="Y11" s="94">
        <f>SUMIFS(Grid_BD!$R:$R,Grid_BD!$G:$G,(VLOOKUP(Y$4,'Basic Data'!$A:$G,7,0)),Grid_BD!$F:$F,"&gt;="&amp;Analytices!$B$2,Grid_BD!$F:$F,"&lt;="&amp;Analytices!$B$3)</f>
        <v>0</v>
      </c>
      <c r="Z11" s="94">
        <f>SUMIFS(Grid_BD!$R:$R,Grid_BD!$G:$G,(VLOOKUP(Z$4,'Basic Data'!$A:$G,7,0)),Grid_BD!$F:$F,"&gt;="&amp;Analytices!$B$2,Grid_BD!$F:$F,"&lt;="&amp;Analytices!$B$3)</f>
        <v>0</v>
      </c>
      <c r="AA11" s="94">
        <f>SUMIFS(Grid_BD!$R:$R,Grid_BD!$G:$G,(VLOOKUP(AA$4,'Basic Data'!$A:$G,7,0)),Grid_BD!$F:$F,"&gt;="&amp;Analytices!$B$2,Grid_BD!$F:$F,"&lt;="&amp;Analytices!$B$3)</f>
        <v>0</v>
      </c>
      <c r="AB11" s="94">
        <f>SUMIFS(Grid_BD!$R:$R,Grid_BD!$G:$G,(VLOOKUP(AB$4,'Basic Data'!$A:$G,7,0)),Grid_BD!$F:$F,"&gt;="&amp;Analytices!$B$2,Grid_BD!$F:$F,"&lt;="&amp;Analytices!$B$3)</f>
        <v>0</v>
      </c>
      <c r="AC11" s="94">
        <f>SUMIFS(Grid_BD!$R:$R,Grid_BD!$G:$G,(VLOOKUP(AC$4,'Basic Data'!$A:$G,7,0)),Grid_BD!$F:$F,"&gt;="&amp;Analytices!$B$2,Grid_BD!$F:$F,"&lt;="&amp;Analytices!$B$3)</f>
        <v>0</v>
      </c>
      <c r="AD11" s="94">
        <f>SUMIFS(Grid_BD!$R:$R,Grid_BD!$G:$G,(VLOOKUP(AD$4,'Basic Data'!$A:$G,7,0)),Grid_BD!$F:$F,"&gt;="&amp;Analytices!$B$2,Grid_BD!$F:$F,"&lt;="&amp;Analytices!$B$3)</f>
        <v>0</v>
      </c>
      <c r="AE11" s="94">
        <f>SUMIFS(Grid_BD!$R:$R,Grid_BD!$G:$G,(VLOOKUP(AE$4,'Basic Data'!$A:$G,7,0)),Grid_BD!$F:$F,"&gt;="&amp;Analytices!$B$2,Grid_BD!$F:$F,"&lt;="&amp;Analytices!$B$3)</f>
        <v>0</v>
      </c>
      <c r="AF11" s="94">
        <f>SUMIFS(Grid_BD!$R:$R,Grid_BD!$G:$G,(VLOOKUP(AF$4,'Basic Data'!$A:$G,7,0)),Grid_BD!$F:$F,"&gt;="&amp;Analytices!$B$2,Grid_BD!$F:$F,"&lt;="&amp;Analytices!$B$3)</f>
        <v>0</v>
      </c>
      <c r="AG11" s="94">
        <f>SUMIFS(Grid_BD!$R:$R,Grid_BD!$G:$G,(VLOOKUP(AG$4,'Basic Data'!$A:$G,7,0)),Grid_BD!$F:$F,"&gt;="&amp;Analytices!$B$2,Grid_BD!$F:$F,"&lt;="&amp;Analytices!$B$3)</f>
        <v>0</v>
      </c>
      <c r="AH11" s="94">
        <f>SUMIFS(Grid_BD!$R:$R,Grid_BD!$G:$G,(VLOOKUP(AH$4,'Basic Data'!$A:$G,7,0)),Grid_BD!$F:$F,"&gt;="&amp;Analytices!$B$2,Grid_BD!$F:$F,"&lt;="&amp;Analytices!$B$3)</f>
        <v>0</v>
      </c>
      <c r="AI11" s="94">
        <f>SUMIFS(Grid_BD!$R:$R,Grid_BD!$G:$G,(VLOOKUP(AI$4,'Basic Data'!$A:$G,7,0)),Grid_BD!$F:$F,"&gt;="&amp;Analytices!$B$2,Grid_BD!$F:$F,"&lt;="&amp;Analytices!$B$3)</f>
        <v>0</v>
      </c>
      <c r="AJ11" s="94">
        <f>SUMIFS(Grid_BD!$R:$R,Grid_BD!$G:$G,(VLOOKUP(AJ$4,'Basic Data'!$A:$G,7,0)),Grid_BD!$F:$F,"&gt;="&amp;Analytices!$B$2,Grid_BD!$F:$F,"&lt;="&amp;Analytices!$B$3)</f>
        <v>0</v>
      </c>
      <c r="AK11" s="94">
        <f>SUMIFS(Grid_BD!$R:$R,Grid_BD!$G:$G,(VLOOKUP(AK$4,'Basic Data'!$A:$G,7,0)),Grid_BD!$F:$F,"&gt;="&amp;Analytices!$B$2,Grid_BD!$F:$F,"&lt;="&amp;Analytices!$B$3)</f>
        <v>0</v>
      </c>
      <c r="AL11" s="94">
        <f>SUMIFS(Grid_BD!$R:$R,Grid_BD!$G:$G,(VLOOKUP(AL$4,'Basic Data'!$A:$G,7,0)),Grid_BD!$F:$F,"&gt;="&amp;Analytices!$B$2,Grid_BD!$F:$F,"&lt;="&amp;Analytices!$B$3)</f>
        <v>0</v>
      </c>
      <c r="AM11" s="94">
        <f>SUMIFS(Grid_BD!$R:$R,Grid_BD!$G:$G,(VLOOKUP(AM$4,'Basic Data'!$A:$G,7,0)),Grid_BD!$F:$F,"&gt;="&amp;Analytices!$B$2,Grid_BD!$F:$F,"&lt;="&amp;Analytices!$B$3)</f>
        <v>0</v>
      </c>
      <c r="AN11" s="94">
        <f>SUMIFS(Grid_BD!$R:$R,Grid_BD!$G:$G,(VLOOKUP(AN$4,'Basic Data'!$A:$G,7,0)),Grid_BD!$F:$F,"&gt;="&amp;Analytices!$B$2,Grid_BD!$F:$F,"&lt;="&amp;Analytices!$B$3)</f>
        <v>0</v>
      </c>
    </row>
    <row r="12" spans="1:40" ht="29.1" hidden="1" customHeight="1">
      <c r="A12" s="86" t="s">
        <v>161</v>
      </c>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row>
    <row r="13" spans="1:40" ht="29.1" customHeight="1">
      <c r="A13" s="85" t="s">
        <v>162</v>
      </c>
      <c r="B13" s="95">
        <f>(C3-B14)/C3</f>
        <v>1</v>
      </c>
      <c r="C13" s="95">
        <f t="shared" ref="C13:AN13" si="2">$B$13</f>
        <v>1</v>
      </c>
      <c r="D13" s="95">
        <f t="shared" si="2"/>
        <v>1</v>
      </c>
      <c r="E13" s="96">
        <f t="shared" si="2"/>
        <v>1</v>
      </c>
      <c r="F13" s="96">
        <f t="shared" si="2"/>
        <v>1</v>
      </c>
      <c r="G13" s="96">
        <f t="shared" si="2"/>
        <v>1</v>
      </c>
      <c r="H13" s="96">
        <f t="shared" si="2"/>
        <v>1</v>
      </c>
      <c r="I13" s="96">
        <f t="shared" si="2"/>
        <v>1</v>
      </c>
      <c r="J13" s="96">
        <f t="shared" si="2"/>
        <v>1</v>
      </c>
      <c r="K13" s="96">
        <f t="shared" si="2"/>
        <v>1</v>
      </c>
      <c r="L13" s="96">
        <f t="shared" si="2"/>
        <v>1</v>
      </c>
      <c r="M13" s="96">
        <f t="shared" si="2"/>
        <v>1</v>
      </c>
      <c r="N13" s="96">
        <f t="shared" si="2"/>
        <v>1</v>
      </c>
      <c r="O13" s="96">
        <f t="shared" si="2"/>
        <v>1</v>
      </c>
      <c r="P13" s="96">
        <f t="shared" si="2"/>
        <v>1</v>
      </c>
      <c r="Q13" s="96">
        <f t="shared" si="2"/>
        <v>1</v>
      </c>
      <c r="R13" s="96">
        <f t="shared" si="2"/>
        <v>1</v>
      </c>
      <c r="S13" s="96">
        <f t="shared" si="2"/>
        <v>1</v>
      </c>
      <c r="T13" s="96">
        <f t="shared" si="2"/>
        <v>1</v>
      </c>
      <c r="U13" s="96">
        <f t="shared" si="2"/>
        <v>1</v>
      </c>
      <c r="V13" s="96">
        <f t="shared" si="2"/>
        <v>1</v>
      </c>
      <c r="W13" s="96">
        <f t="shared" si="2"/>
        <v>1</v>
      </c>
      <c r="X13" s="96">
        <f t="shared" si="2"/>
        <v>1</v>
      </c>
      <c r="Y13" s="96">
        <f t="shared" si="2"/>
        <v>1</v>
      </c>
      <c r="Z13" s="96">
        <f t="shared" si="2"/>
        <v>1</v>
      </c>
      <c r="AA13" s="96">
        <f t="shared" si="2"/>
        <v>1</v>
      </c>
      <c r="AB13" s="96">
        <f t="shared" si="2"/>
        <v>1</v>
      </c>
      <c r="AC13" s="96">
        <f t="shared" si="2"/>
        <v>1</v>
      </c>
      <c r="AD13" s="96">
        <f t="shared" si="2"/>
        <v>1</v>
      </c>
      <c r="AE13" s="96">
        <f t="shared" si="2"/>
        <v>1</v>
      </c>
      <c r="AF13" s="96">
        <f t="shared" si="2"/>
        <v>1</v>
      </c>
      <c r="AG13" s="96">
        <f t="shared" si="2"/>
        <v>1</v>
      </c>
      <c r="AH13" s="96">
        <f t="shared" si="2"/>
        <v>1</v>
      </c>
      <c r="AI13" s="96">
        <f t="shared" si="2"/>
        <v>1</v>
      </c>
      <c r="AJ13" s="96">
        <f t="shared" si="2"/>
        <v>1</v>
      </c>
      <c r="AK13" s="96">
        <f t="shared" si="2"/>
        <v>1</v>
      </c>
      <c r="AL13" s="96">
        <f t="shared" si="2"/>
        <v>1</v>
      </c>
      <c r="AM13" s="96">
        <f t="shared" si="2"/>
        <v>1</v>
      </c>
      <c r="AN13" s="96">
        <f t="shared" si="2"/>
        <v>1</v>
      </c>
    </row>
    <row r="14" spans="1:40" ht="29.1" hidden="1" customHeight="1">
      <c r="A14" s="86" t="s">
        <v>163</v>
      </c>
      <c r="B14" s="94">
        <f>(SUMIFS(Grid_BD!$R:$R,Grid_BD!$F:$F,"&gt;="&amp;Analytices!B2,Grid_BD!$F:$F,"&lt;="&amp;Analytices!B3,Grid_BD!$G:$G,"Line1"))</f>
        <v>0</v>
      </c>
      <c r="C14" s="94">
        <f>$B$14</f>
        <v>0</v>
      </c>
      <c r="D14" s="94">
        <f t="shared" ref="D14:AN14" si="3">$B$14</f>
        <v>0</v>
      </c>
      <c r="E14" s="94">
        <f t="shared" si="3"/>
        <v>0</v>
      </c>
      <c r="F14" s="94">
        <f t="shared" si="3"/>
        <v>0</v>
      </c>
      <c r="G14" s="94">
        <f t="shared" si="3"/>
        <v>0</v>
      </c>
      <c r="H14" s="94">
        <f t="shared" si="3"/>
        <v>0</v>
      </c>
      <c r="I14" s="94">
        <f t="shared" si="3"/>
        <v>0</v>
      </c>
      <c r="J14" s="94">
        <f t="shared" si="3"/>
        <v>0</v>
      </c>
      <c r="K14" s="94">
        <f t="shared" si="3"/>
        <v>0</v>
      </c>
      <c r="L14" s="94">
        <f t="shared" si="3"/>
        <v>0</v>
      </c>
      <c r="M14" s="94">
        <f t="shared" si="3"/>
        <v>0</v>
      </c>
      <c r="N14" s="94">
        <f t="shared" si="3"/>
        <v>0</v>
      </c>
      <c r="O14" s="94">
        <f t="shared" si="3"/>
        <v>0</v>
      </c>
      <c r="P14" s="94">
        <f t="shared" si="3"/>
        <v>0</v>
      </c>
      <c r="Q14" s="94">
        <f t="shared" si="3"/>
        <v>0</v>
      </c>
      <c r="R14" s="94">
        <f t="shared" si="3"/>
        <v>0</v>
      </c>
      <c r="S14" s="94">
        <f t="shared" si="3"/>
        <v>0</v>
      </c>
      <c r="T14" s="94">
        <f t="shared" si="3"/>
        <v>0</v>
      </c>
      <c r="U14" s="94">
        <f t="shared" si="3"/>
        <v>0</v>
      </c>
      <c r="V14" s="94">
        <f t="shared" si="3"/>
        <v>0</v>
      </c>
      <c r="W14" s="94">
        <f t="shared" si="3"/>
        <v>0</v>
      </c>
      <c r="X14" s="94">
        <f t="shared" si="3"/>
        <v>0</v>
      </c>
      <c r="Y14" s="94">
        <f t="shared" si="3"/>
        <v>0</v>
      </c>
      <c r="Z14" s="94">
        <f t="shared" si="3"/>
        <v>0</v>
      </c>
      <c r="AA14" s="94">
        <f t="shared" si="3"/>
        <v>0</v>
      </c>
      <c r="AB14" s="94">
        <f t="shared" si="3"/>
        <v>0</v>
      </c>
      <c r="AC14" s="94">
        <f t="shared" si="3"/>
        <v>0</v>
      </c>
      <c r="AD14" s="94">
        <f t="shared" si="3"/>
        <v>0</v>
      </c>
      <c r="AE14" s="94">
        <f t="shared" si="3"/>
        <v>0</v>
      </c>
      <c r="AF14" s="94">
        <f t="shared" si="3"/>
        <v>0</v>
      </c>
      <c r="AG14" s="94">
        <f t="shared" si="3"/>
        <v>0</v>
      </c>
      <c r="AH14" s="94">
        <f t="shared" si="3"/>
        <v>0</v>
      </c>
      <c r="AI14" s="94">
        <f t="shared" si="3"/>
        <v>0</v>
      </c>
      <c r="AJ14" s="94">
        <f t="shared" si="3"/>
        <v>0</v>
      </c>
      <c r="AK14" s="94">
        <f t="shared" si="3"/>
        <v>0</v>
      </c>
      <c r="AL14" s="94">
        <f t="shared" si="3"/>
        <v>0</v>
      </c>
      <c r="AM14" s="94">
        <f t="shared" si="3"/>
        <v>0</v>
      </c>
      <c r="AN14" s="94">
        <f t="shared" si="3"/>
        <v>0</v>
      </c>
    </row>
    <row r="15" spans="1:40" ht="29.1" customHeight="1">
      <c r="A15" s="85" t="s">
        <v>164</v>
      </c>
      <c r="B15" s="94">
        <f>SUMIFS(Input_Raw!F:F,Input_Raw!$A:$A,"&gt;="&amp;Analytices!$B$2,Input_Raw!$A:$A,"&lt;="&amp;Analytices!$B$3)</f>
        <v>5933</v>
      </c>
      <c r="C15" s="94">
        <f>SUMIFS(Input_Raw!G:G,Input_Raw!$A:$A,"&gt;="&amp;Analytices!$B$2,Input_Raw!$A:$A,"&lt;="&amp;Analytices!$B$3)</f>
        <v>5995</v>
      </c>
      <c r="D15" s="94">
        <f>SUMIFS(Input_Raw!H:H,Input_Raw!$A:$A,"&gt;="&amp;Analytices!$B$2,Input_Raw!$A:$A,"&lt;="&amp;Analytices!$B$3)</f>
        <v>5680</v>
      </c>
      <c r="E15" s="94">
        <f>SUMIFS(Input_Raw!I:I,Input_Raw!$A:$A,"&gt;="&amp;Analytices!$B$2,Input_Raw!$A:$A,"&lt;="&amp;Analytices!$B$3)</f>
        <v>6010</v>
      </c>
      <c r="F15" s="94">
        <f>SUMIFS(Input_Raw!J:J,Input_Raw!$A:$A,"&gt;="&amp;Analytices!$B$2,Input_Raw!$A:$A,"&lt;="&amp;Analytices!$B$3)</f>
        <v>4589</v>
      </c>
      <c r="G15" s="94">
        <f>SUMIFS(Input_Raw!K:K,Input_Raw!$A:$A,"&gt;="&amp;Analytices!$B$2,Input_Raw!$A:$A,"&lt;="&amp;Analytices!$B$3)</f>
        <v>5933</v>
      </c>
      <c r="H15" s="94">
        <f>SUMIFS(Input_Raw!L:L,Input_Raw!$A:$A,"&gt;="&amp;Analytices!$B$2,Input_Raw!$A:$A,"&lt;="&amp;Analytices!$B$3)</f>
        <v>5930</v>
      </c>
      <c r="I15" s="94">
        <f>SUMIFS(Input_Raw!M:M,Input_Raw!$A:$A,"&gt;="&amp;Analytices!$B$2,Input_Raw!$A:$A,"&lt;="&amp;Analytices!$B$3)</f>
        <v>5982</v>
      </c>
      <c r="J15" s="94">
        <f>SUMIFS(Input_Raw!N:N,Input_Raw!$A:$A,"&gt;="&amp;Analytices!$B$2,Input_Raw!$A:$A,"&lt;="&amp;Analytices!$B$3)</f>
        <v>6600</v>
      </c>
      <c r="K15" s="94">
        <f>SUMIFS(Input_Raw!O:O,Input_Raw!$A:$A,"&gt;="&amp;Analytices!$B$2,Input_Raw!$A:$A,"&lt;="&amp;Analytices!$B$3)</f>
        <v>5982</v>
      </c>
      <c r="L15" s="94">
        <f>SUMIFS(Input_Raw!P:P,Input_Raw!$A:$A,"&gt;="&amp;Analytices!$B$2,Input_Raw!$A:$A,"&lt;="&amp;Analytices!$B$3)</f>
        <v>5933</v>
      </c>
      <c r="M15" s="94">
        <f>SUMIFS(Input_Raw!Q:Q,Input_Raw!$A:$A,"&gt;="&amp;Analytices!$B$2,Input_Raw!$A:$A,"&lt;="&amp;Analytices!$B$3)</f>
        <v>6595</v>
      </c>
      <c r="N15" s="94">
        <f>SUMIFS(Input_Raw!R:R,Input_Raw!$A:$A,"&gt;="&amp;Analytices!$B$2,Input_Raw!$A:$A,"&lt;="&amp;Analytices!$B$3)</f>
        <v>6605</v>
      </c>
      <c r="O15" s="94">
        <f>SUMIFS(Input_Raw!S:S,Input_Raw!$A:$A,"&gt;="&amp;Analytices!$B$2,Input_Raw!$A:$A,"&lt;="&amp;Analytices!$B$3)</f>
        <v>6602</v>
      </c>
      <c r="P15" s="94">
        <f>SUMIFS(Input_Raw!T:T,Input_Raw!$A:$A,"&gt;="&amp;Analytices!$B$2,Input_Raw!$A:$A,"&lt;="&amp;Analytices!$B$3)</f>
        <v>6398</v>
      </c>
      <c r="Q15" s="94">
        <f>SUMIFS(Input_Raw!U:U,Input_Raw!$A:$A,"&gt;="&amp;Analytices!$B$2,Input_Raw!$A:$A,"&lt;="&amp;Analytices!$B$3)</f>
        <v>6594</v>
      </c>
      <c r="R15" s="94">
        <f>SUMIFS(Input_Raw!V:V,Input_Raw!$A:$A,"&gt;="&amp;Analytices!$B$2,Input_Raw!$A:$A,"&lt;="&amp;Analytices!$B$3)</f>
        <v>0</v>
      </c>
      <c r="S15" s="94">
        <f>SUMIFS(Input_Raw!W:W,Input_Raw!$A:$A,"&gt;="&amp;Analytices!$B$2,Input_Raw!$A:$A,"&lt;="&amp;Analytices!$B$3)</f>
        <v>6420</v>
      </c>
      <c r="T15" s="94">
        <f>SUMIFS(Input_Raw!X:X,Input_Raw!$A:$A,"&gt;="&amp;Analytices!$B$2,Input_Raw!$A:$A,"&lt;="&amp;Analytices!$B$3)</f>
        <v>6783</v>
      </c>
      <c r="U15" s="94">
        <f>SUMIFS(Input_Raw!Y:Y,Input_Raw!$A:$A,"&gt;="&amp;Analytices!$B$2,Input_Raw!$A:$A,"&lt;="&amp;Analytices!$B$3)</f>
        <v>6932</v>
      </c>
      <c r="V15" s="94">
        <f>SUMIFS(Input_Raw!Z:Z,Input_Raw!$A:$A,"&gt;="&amp;Analytices!$B$2,Input_Raw!$A:$A,"&lt;="&amp;Analytices!$B$3)</f>
        <v>4986</v>
      </c>
      <c r="W15" s="94">
        <f>SUMIFS(Input_Raw!AA:AA,Input_Raw!$A:$A,"&gt;="&amp;Analytices!$B$2,Input_Raw!$A:$A,"&lt;="&amp;Analytices!$B$3)</f>
        <v>4865</v>
      </c>
      <c r="X15" s="94">
        <f>SUMIFS(Input_Raw!AB:AB,Input_Raw!$A:$A,"&gt;="&amp;Analytices!$B$2,Input_Raw!$A:$A,"&lt;="&amp;Analytices!$B$3)</f>
        <v>4738</v>
      </c>
      <c r="Y15" s="94">
        <f>SUMIFS(Input_Raw!AC:AC,Input_Raw!$A:$A,"&gt;="&amp;Analytices!$B$2,Input_Raw!$A:$A,"&lt;="&amp;Analytices!$B$3)</f>
        <v>4680</v>
      </c>
      <c r="Z15" s="94">
        <f>SUMIFS(Input_Raw!AD:AD,Input_Raw!$A:$A,"&gt;="&amp;Analytices!$B$2,Input_Raw!$A:$A,"&lt;="&amp;Analytices!$B$3)</f>
        <v>3660</v>
      </c>
      <c r="AA15" s="94">
        <f>SUMIFS(Input_Raw!AE:AE,Input_Raw!$A:$A,"&gt;="&amp;Analytices!$B$2,Input_Raw!$A:$A,"&lt;="&amp;Analytices!$B$3)</f>
        <v>4580</v>
      </c>
      <c r="AB15" s="94">
        <f>SUMIFS(Input_Raw!AF:AF,Input_Raw!$A:$A,"&gt;="&amp;Analytices!$B$2,Input_Raw!$A:$A,"&lt;="&amp;Analytices!$B$3)</f>
        <v>3492</v>
      </c>
      <c r="AC15" s="94">
        <f>SUMIFS(Input_Raw!AG:AG,Input_Raw!$A:$A,"&gt;="&amp;Analytices!$B$2,Input_Raw!$A:$A,"&lt;="&amp;Analytices!$B$3)</f>
        <v>0</v>
      </c>
      <c r="AD15" s="94">
        <f>SUMIFS(Input_Raw!AH:AH,Input_Raw!$A:$A,"&gt;="&amp;Analytices!$B$2,Input_Raw!$A:$A,"&lt;="&amp;Analytices!$B$3)</f>
        <v>4510</v>
      </c>
      <c r="AE15" s="94">
        <f>SUMIFS(Input_Raw!AI:AI,Input_Raw!$A:$A,"&gt;="&amp;Analytices!$B$2,Input_Raw!$A:$A,"&lt;="&amp;Analytices!$B$3)</f>
        <v>0</v>
      </c>
      <c r="AF15" s="94">
        <f>SUMIFS(Input_Raw!AJ:AJ,Input_Raw!$A:$A,"&gt;="&amp;Analytices!$B$2,Input_Raw!$A:$A,"&lt;="&amp;Analytices!$B$3)</f>
        <v>3520</v>
      </c>
      <c r="AG15" s="94">
        <f>SUMIFS(Input_Raw!AK:AK,Input_Raw!$A:$A,"&gt;="&amp;Analytices!$B$2,Input_Raw!$A:$A,"&lt;="&amp;Analytices!$B$3)</f>
        <v>3665</v>
      </c>
      <c r="AH15" s="94">
        <f>SUMIFS(Input_Raw!AL:AL,Input_Raw!$A:$A,"&gt;="&amp;Analytices!$B$2,Input_Raw!$A:$A,"&lt;="&amp;Analytices!$B$3)</f>
        <v>3654</v>
      </c>
      <c r="AI15" s="94">
        <f>SUMIFS(Input_Raw!AM:AM,Input_Raw!$A:$A,"&gt;="&amp;Analytices!$B$2,Input_Raw!$A:$A,"&lt;="&amp;Analytices!$B$3)</f>
        <v>3654</v>
      </c>
      <c r="AJ15" s="94">
        <f>SUMIFS(Input_Raw!AN:AN,Input_Raw!$A:$A,"&gt;="&amp;Analytices!$B$2,Input_Raw!$A:$A,"&lt;="&amp;Analytices!$B$3)</f>
        <v>3900</v>
      </c>
      <c r="AK15" s="94">
        <f>SUMIFS(Input_Raw!AO:AO,Input_Raw!$A:$A,"&gt;="&amp;Analytices!$B$2,Input_Raw!$A:$A,"&lt;="&amp;Analytices!$B$3)</f>
        <v>3850</v>
      </c>
      <c r="AL15" s="94">
        <f>SUMIFS(Input_Raw!AP:AP,Input_Raw!$A:$A,"&gt;="&amp;Analytices!$B$2,Input_Raw!$A:$A,"&lt;="&amp;Analytices!$B$3)</f>
        <v>3650</v>
      </c>
      <c r="AM15" s="94">
        <f>SUMIFS(Input_Raw!AQ:AQ,Input_Raw!$A:$A,"&gt;="&amp;Analytices!$B$2,Input_Raw!$A:$A,"&lt;="&amp;Analytices!$B$3)</f>
        <v>3650</v>
      </c>
      <c r="AN15" s="94">
        <f>SUMIFS(Input_Raw!AR:AR,Input_Raw!$A:$A,"&gt;="&amp;Analytices!$B$2,Input_Raw!$A:$A,"&lt;="&amp;Analytices!$B$3)</f>
        <v>3660</v>
      </c>
    </row>
    <row r="16" spans="1:40" ht="29.1" customHeight="1">
      <c r="A16" s="85" t="s">
        <v>165</v>
      </c>
      <c r="B16" s="91">
        <f>IFERROR(($C$3-(SUM(B8:B12,B14,B6)))/$C$3,1)</f>
        <v>1</v>
      </c>
      <c r="C16" s="91">
        <f t="shared" ref="C16:AN16" si="4">IFERROR(($C$3-(SUM(C8:C12,C14,C6)))/$C$3,1)</f>
        <v>1</v>
      </c>
      <c r="D16" s="91">
        <f t="shared" si="4"/>
        <v>1</v>
      </c>
      <c r="E16" s="91">
        <f t="shared" si="4"/>
        <v>1</v>
      </c>
      <c r="F16" s="91">
        <f t="shared" si="4"/>
        <v>1</v>
      </c>
      <c r="G16" s="91">
        <f t="shared" si="4"/>
        <v>1</v>
      </c>
      <c r="H16" s="91">
        <f t="shared" si="4"/>
        <v>1</v>
      </c>
      <c r="I16" s="91">
        <f t="shared" si="4"/>
        <v>1</v>
      </c>
      <c r="J16" s="91">
        <f t="shared" si="4"/>
        <v>1</v>
      </c>
      <c r="K16" s="91">
        <f t="shared" si="4"/>
        <v>1</v>
      </c>
      <c r="L16" s="91">
        <f t="shared" si="4"/>
        <v>1</v>
      </c>
      <c r="M16" s="91">
        <f t="shared" si="4"/>
        <v>1</v>
      </c>
      <c r="N16" s="91">
        <f t="shared" si="4"/>
        <v>1</v>
      </c>
      <c r="O16" s="91">
        <f t="shared" si="4"/>
        <v>1</v>
      </c>
      <c r="P16" s="91">
        <f t="shared" si="4"/>
        <v>1</v>
      </c>
      <c r="Q16" s="91">
        <f t="shared" si="4"/>
        <v>1</v>
      </c>
      <c r="R16" s="91">
        <f t="shared" si="4"/>
        <v>1.157407407396486E-5</v>
      </c>
      <c r="S16" s="91">
        <f t="shared" si="4"/>
        <v>1</v>
      </c>
      <c r="T16" s="91">
        <f t="shared" si="4"/>
        <v>1</v>
      </c>
      <c r="U16" s="91">
        <f t="shared" si="4"/>
        <v>1</v>
      </c>
      <c r="V16" s="91">
        <f t="shared" si="4"/>
        <v>1</v>
      </c>
      <c r="W16" s="91">
        <f t="shared" si="4"/>
        <v>1</v>
      </c>
      <c r="X16" s="91">
        <f t="shared" si="4"/>
        <v>1</v>
      </c>
      <c r="Y16" s="91">
        <f t="shared" si="4"/>
        <v>1</v>
      </c>
      <c r="Z16" s="91">
        <f t="shared" si="4"/>
        <v>0.9243055555555556</v>
      </c>
      <c r="AA16" s="91">
        <f t="shared" si="4"/>
        <v>1</v>
      </c>
      <c r="AB16" s="91">
        <f t="shared" si="4"/>
        <v>0.76944444444444449</v>
      </c>
      <c r="AC16" s="91">
        <f t="shared" si="4"/>
        <v>1.157407407396486E-5</v>
      </c>
      <c r="AD16" s="91">
        <f t="shared" si="4"/>
        <v>1</v>
      </c>
      <c r="AE16" s="91">
        <f t="shared" si="4"/>
        <v>6.9444444444440501E-4</v>
      </c>
      <c r="AF16" s="91">
        <f t="shared" si="4"/>
        <v>1</v>
      </c>
      <c r="AG16" s="91">
        <f t="shared" si="4"/>
        <v>1</v>
      </c>
      <c r="AH16" s="91">
        <f t="shared" si="4"/>
        <v>1</v>
      </c>
      <c r="AI16" s="91">
        <f t="shared" si="4"/>
        <v>1</v>
      </c>
      <c r="AJ16" s="91">
        <f t="shared" si="4"/>
        <v>1</v>
      </c>
      <c r="AK16" s="91">
        <f t="shared" si="4"/>
        <v>1</v>
      </c>
      <c r="AL16" s="91">
        <f t="shared" si="4"/>
        <v>1</v>
      </c>
      <c r="AM16" s="91">
        <f t="shared" si="4"/>
        <v>1</v>
      </c>
      <c r="AN16" s="91">
        <f t="shared" si="4"/>
        <v>1</v>
      </c>
    </row>
    <row r="17" spans="1:40" ht="29.1" hidden="1" customHeight="1">
      <c r="A17" s="86" t="s">
        <v>166</v>
      </c>
      <c r="B17" s="92">
        <f>SUMIFS(WTG_BD!$T:$T,WTG_BD!$F:$F,"&gt;="&amp;Analytices!$B$2,WTG_BD!$F:$F,"&lt;="&amp;Analytices!$B$3,WTG_BD!$G:$G,B4)</f>
        <v>0</v>
      </c>
      <c r="C17" s="92">
        <f>SUMIFS(WTG_BD!$T:$T,WTG_BD!$F:$F,"&gt;="&amp;Analytices!$B$2,WTG_BD!$F:$F,"&lt;="&amp;Analytices!$B$3,WTG_BD!$G:$G,C4)</f>
        <v>0</v>
      </c>
      <c r="D17" s="92">
        <f>SUMIFS(WTG_BD!$T:$T,WTG_BD!$F:$F,"&gt;="&amp;Analytices!$B$2,WTG_BD!$F:$F,"&lt;="&amp;Analytices!$B$3,WTG_BD!$G:$G,D4)</f>
        <v>0</v>
      </c>
      <c r="E17" s="92">
        <f>SUMIFS(WTG_BD!$T:$T,WTG_BD!$F:$F,"&gt;="&amp;Analytices!$B$2,WTG_BD!$F:$F,"&lt;="&amp;Analytices!$B$3,WTG_BD!$G:$G,E4)</f>
        <v>0</v>
      </c>
      <c r="F17" s="92">
        <f>SUMIFS(WTG_BD!$T:$T,WTG_BD!$F:$F,"&gt;="&amp;Analytices!$B$2,WTG_BD!$F:$F,"&lt;="&amp;Analytices!$B$3,WTG_BD!$G:$G,F4)</f>
        <v>0</v>
      </c>
      <c r="G17" s="92">
        <f>SUMIFS(WTG_BD!$T:$T,WTG_BD!$F:$F,"&gt;="&amp;Analytices!$B$2,WTG_BD!$F:$F,"&lt;="&amp;Analytices!$B$3,WTG_BD!$G:$G,G4)</f>
        <v>0</v>
      </c>
      <c r="H17" s="92">
        <f>SUMIFS(WTG_BD!$T:$T,WTG_BD!$F:$F,"&gt;="&amp;Analytices!$B$2,WTG_BD!$F:$F,"&lt;="&amp;Analytices!$B$3,WTG_BD!$G:$G,H4)</f>
        <v>0</v>
      </c>
      <c r="I17" s="92">
        <f>SUMIFS(WTG_BD!$T:$T,WTG_BD!$F:$F,"&gt;="&amp;Analytices!$B$2,WTG_BD!$F:$F,"&lt;="&amp;Analytices!$B$3,WTG_BD!$G:$G,I4)</f>
        <v>0</v>
      </c>
      <c r="J17" s="92">
        <f>SUMIFS(WTG_BD!$T:$T,WTG_BD!$F:$F,"&gt;="&amp;Analytices!$B$2,WTG_BD!$F:$F,"&lt;="&amp;Analytices!$B$3,WTG_BD!$G:$G,J4)</f>
        <v>0</v>
      </c>
      <c r="K17" s="92">
        <f>SUMIFS(WTG_BD!$T:$T,WTG_BD!$F:$F,"&gt;="&amp;Analytices!$B$2,WTG_BD!$F:$F,"&lt;="&amp;Analytices!$B$3,WTG_BD!$G:$G,K4)</f>
        <v>0</v>
      </c>
      <c r="L17" s="92">
        <f>SUMIFS(WTG_BD!$T:$T,WTG_BD!$F:$F,"&gt;="&amp;Analytices!$B$2,WTG_BD!$F:$F,"&lt;="&amp;Analytices!$B$3,WTG_BD!$G:$G,L4)</f>
        <v>0</v>
      </c>
      <c r="M17" s="92">
        <f>SUMIFS(WTG_BD!$T:$T,WTG_BD!$F:$F,"&gt;="&amp;Analytices!$B$2,WTG_BD!$F:$F,"&lt;="&amp;Analytices!$B$3,WTG_BD!$G:$G,M4)</f>
        <v>0</v>
      </c>
      <c r="N17" s="92">
        <f>SUMIFS(WTG_BD!$T:$T,WTG_BD!$F:$F,"&gt;="&amp;Analytices!$B$2,WTG_BD!$F:$F,"&lt;="&amp;Analytices!$B$3,WTG_BD!$G:$G,N4)</f>
        <v>0</v>
      </c>
      <c r="O17" s="92">
        <f>SUMIFS(WTG_BD!$T:$T,WTG_BD!$F:$F,"&gt;="&amp;Analytices!$B$2,WTG_BD!$F:$F,"&lt;="&amp;Analytices!$B$3,WTG_BD!$G:$G,O4)</f>
        <v>0</v>
      </c>
      <c r="P17" s="92">
        <f>SUMIFS(WTG_BD!$T:$T,WTG_BD!$F:$F,"&gt;="&amp;Analytices!$B$2,WTG_BD!$F:$F,"&lt;="&amp;Analytices!$B$3,WTG_BD!$G:$G,P4)</f>
        <v>0</v>
      </c>
      <c r="Q17" s="92">
        <f>SUMIFS(WTG_BD!$T:$T,WTG_BD!$F:$F,"&gt;="&amp;Analytices!$B$2,WTG_BD!$F:$F,"&lt;="&amp;Analytices!$B$3,WTG_BD!$G:$G,Q4)</f>
        <v>0</v>
      </c>
      <c r="R17" s="92">
        <f>SUMIFS(WTG_BD!$T:$T,WTG_BD!$F:$F,"&gt;="&amp;Analytices!$B$2,WTG_BD!$F:$F,"&lt;="&amp;Analytices!$B$3,WTG_BD!$G:$G,R4)</f>
        <v>23.999722222222225</v>
      </c>
      <c r="S17" s="92">
        <f>SUMIFS(WTG_BD!$T:$T,WTG_BD!$F:$F,"&gt;="&amp;Analytices!$B$2,WTG_BD!$F:$F,"&lt;="&amp;Analytices!$B$3,WTG_BD!$G:$G,S4)</f>
        <v>0</v>
      </c>
      <c r="T17" s="92">
        <f>SUMIFS(WTG_BD!$T:$T,WTG_BD!$F:$F,"&gt;="&amp;Analytices!$B$2,WTG_BD!$F:$F,"&lt;="&amp;Analytices!$B$3,WTG_BD!$G:$G,T4)</f>
        <v>0</v>
      </c>
      <c r="U17" s="92">
        <f>SUMIFS(WTG_BD!$T:$T,WTG_BD!$F:$F,"&gt;="&amp;Analytices!$B$2,WTG_BD!$F:$F,"&lt;="&amp;Analytices!$B$3,WTG_BD!$G:$G,U4)</f>
        <v>0</v>
      </c>
      <c r="V17" s="92">
        <f>SUMIFS(WTG_BD!$T:$T,WTG_BD!$F:$F,"&gt;="&amp;Analytices!$B$2,WTG_BD!$F:$F,"&lt;="&amp;Analytices!$B$3,WTG_BD!$G:$G,V4)</f>
        <v>0</v>
      </c>
      <c r="W17" s="92">
        <f>SUMIFS(WTG_BD!$T:$T,WTG_BD!$F:$F,"&gt;="&amp;Analytices!$B$2,WTG_BD!$F:$F,"&lt;="&amp;Analytices!$B$3,WTG_BD!$G:$G,W4)</f>
        <v>0</v>
      </c>
      <c r="X17" s="92">
        <f>SUMIFS(WTG_BD!$T:$T,WTG_BD!$F:$F,"&gt;="&amp;Analytices!$B$2,WTG_BD!$F:$F,"&lt;="&amp;Analytices!$B$3,WTG_BD!$G:$G,X4)</f>
        <v>0</v>
      </c>
      <c r="Y17" s="92">
        <f>SUMIFS(WTG_BD!$T:$T,WTG_BD!$F:$F,"&gt;="&amp;Analytices!$B$2,WTG_BD!$F:$F,"&lt;="&amp;Analytices!$B$3,WTG_BD!$G:$G,Y4)</f>
        <v>0</v>
      </c>
      <c r="Z17" s="92">
        <f>SUMIFS(WTG_BD!$T:$T,WTG_BD!$F:$F,"&gt;="&amp;Analytices!$B$2,WTG_BD!$F:$F,"&lt;="&amp;Analytices!$B$3,WTG_BD!$G:$G,Z4)</f>
        <v>1.8166666666666655</v>
      </c>
      <c r="AA17" s="92">
        <f>SUMIFS(WTG_BD!$T:$T,WTG_BD!$F:$F,"&gt;="&amp;Analytices!$B$2,WTG_BD!$F:$F,"&lt;="&amp;Analytices!$B$3,WTG_BD!$G:$G,AA4)</f>
        <v>0</v>
      </c>
      <c r="AB17" s="92">
        <f>SUMIFS(WTG_BD!$T:$T,WTG_BD!$F:$F,"&gt;="&amp;Analytices!$B$2,WTG_BD!$F:$F,"&lt;="&amp;Analytices!$B$3,WTG_BD!$G:$G,AB4)</f>
        <v>5.5333333333333323</v>
      </c>
      <c r="AC17" s="92">
        <f>SUMIFS(WTG_BD!$T:$T,WTG_BD!$F:$F,"&gt;="&amp;Analytices!$B$2,WTG_BD!$F:$F,"&lt;="&amp;Analytices!$B$3,WTG_BD!$G:$G,AC4)</f>
        <v>23.999722222222225</v>
      </c>
      <c r="AD17" s="92">
        <f>SUMIFS(WTG_BD!$T:$T,WTG_BD!$F:$F,"&gt;="&amp;Analytices!$B$2,WTG_BD!$F:$F,"&lt;="&amp;Analytices!$B$3,WTG_BD!$G:$G,AD4)</f>
        <v>0</v>
      </c>
      <c r="AE17" s="92">
        <f>SUMIFS(WTG_BD!$T:$T,WTG_BD!$F:$F,"&gt;="&amp;Analytices!$B$2,WTG_BD!$F:$F,"&lt;="&amp;Analytices!$B$3,WTG_BD!$G:$G,AE4)</f>
        <v>23.983333333333334</v>
      </c>
      <c r="AF17" s="92">
        <f>SUMIFS(WTG_BD!$T:$T,WTG_BD!$F:$F,"&gt;="&amp;Analytices!$B$2,WTG_BD!$F:$F,"&lt;="&amp;Analytices!$B$3,WTG_BD!$G:$G,AF4)</f>
        <v>0</v>
      </c>
      <c r="AG17" s="92">
        <f>SUMIFS(WTG_BD!$T:$T,WTG_BD!$F:$F,"&gt;="&amp;Analytices!$B$2,WTG_BD!$F:$F,"&lt;="&amp;Analytices!$B$3,WTG_BD!$G:$G,AG4)</f>
        <v>0</v>
      </c>
      <c r="AH17" s="92">
        <f>SUMIFS(WTG_BD!$T:$T,WTG_BD!$F:$F,"&gt;="&amp;Analytices!$B$2,WTG_BD!$F:$F,"&lt;="&amp;Analytices!$B$3,WTG_BD!$G:$G,AH4)</f>
        <v>0</v>
      </c>
      <c r="AI17" s="92">
        <f>SUMIFS(WTG_BD!$T:$T,WTG_BD!$F:$F,"&gt;="&amp;Analytices!$B$2,WTG_BD!$F:$F,"&lt;="&amp;Analytices!$B$3,WTG_BD!$G:$G,AI4)</f>
        <v>0</v>
      </c>
      <c r="AJ17" s="92">
        <f>SUMIFS(WTG_BD!$T:$T,WTG_BD!$F:$F,"&gt;="&amp;Analytices!$B$2,WTG_BD!$F:$F,"&lt;="&amp;Analytices!$B$3,WTG_BD!$G:$G,AJ4)</f>
        <v>0</v>
      </c>
      <c r="AK17" s="92">
        <f>SUMIFS(WTG_BD!$T:$T,WTG_BD!$F:$F,"&gt;="&amp;Analytices!$B$2,WTG_BD!$F:$F,"&lt;="&amp;Analytices!$B$3,WTG_BD!$G:$G,AK4)</f>
        <v>0</v>
      </c>
      <c r="AL17" s="92">
        <f>SUMIFS(WTG_BD!$T:$T,WTG_BD!$F:$F,"&gt;="&amp;Analytices!$B$2,WTG_BD!$F:$F,"&lt;="&amp;Analytices!$B$3,WTG_BD!$G:$G,AL4)</f>
        <v>0</v>
      </c>
      <c r="AM17" s="92">
        <f>SUMIFS(WTG_BD!$T:$T,WTG_BD!$F:$F,"&gt;="&amp;Analytices!$B$2,WTG_BD!$F:$F,"&lt;="&amp;Analytices!$B$3,WTG_BD!$G:$G,AM4)</f>
        <v>0</v>
      </c>
      <c r="AN17" s="92">
        <f>SUMIFS(WTG_BD!$T:$T,WTG_BD!$F:$F,"&gt;="&amp;Analytices!$B$2,WTG_BD!$F:$F,"&lt;="&amp;Analytices!$B$3,WTG_BD!$G:$G,AN4)</f>
        <v>0</v>
      </c>
    </row>
    <row r="18" spans="1:40" ht="29.1" hidden="1" customHeight="1">
      <c r="A18" s="86" t="s">
        <v>167</v>
      </c>
      <c r="B18" s="92">
        <f>COUNTIFS(WTG_BD!$F:$F,"&gt;="&amp;Analytices!$B$2,WTG_BD!$F:$F,"&lt;="&amp;Analytices!$B$3,WTG_BD!$G:$G,B4)</f>
        <v>0</v>
      </c>
      <c r="C18" s="92">
        <f>COUNTIFS(WTG_BD!$F:$F,"&gt;="&amp;Analytices!$B$2,WTG_BD!$F:$F,"&lt;="&amp;Analytices!$B$3,WTG_BD!$G:$G,C4)</f>
        <v>0</v>
      </c>
      <c r="D18" s="92">
        <f>COUNTIFS(WTG_BD!$F:$F,"&gt;="&amp;Analytices!$B$2,WTG_BD!$F:$F,"&lt;="&amp;Analytices!$B$3,WTG_BD!$G:$G,D4)</f>
        <v>0</v>
      </c>
      <c r="E18" s="92">
        <f>COUNTIFS(WTG_BD!$F:$F,"&gt;="&amp;Analytices!$B$2,WTG_BD!$F:$F,"&lt;="&amp;Analytices!$B$3,WTG_BD!$G:$G,E4)</f>
        <v>0</v>
      </c>
      <c r="F18" s="92">
        <f>COUNTIFS(WTG_BD!$F:$F,"&gt;="&amp;Analytices!$B$2,WTG_BD!$F:$F,"&lt;="&amp;Analytices!$B$3,WTG_BD!$G:$G,F4)</f>
        <v>0</v>
      </c>
      <c r="G18" s="92">
        <f>COUNTIFS(WTG_BD!$F:$F,"&gt;="&amp;Analytices!$B$2,WTG_BD!$F:$F,"&lt;="&amp;Analytices!$B$3,WTG_BD!$G:$G,G4)</f>
        <v>0</v>
      </c>
      <c r="H18" s="92">
        <f>COUNTIFS(WTG_BD!$F:$F,"&gt;="&amp;Analytices!$B$2,WTG_BD!$F:$F,"&lt;="&amp;Analytices!$B$3,WTG_BD!$G:$G,H4)</f>
        <v>0</v>
      </c>
      <c r="I18" s="92">
        <f>COUNTIFS(WTG_BD!$F:$F,"&gt;="&amp;Analytices!$B$2,WTG_BD!$F:$F,"&lt;="&amp;Analytices!$B$3,WTG_BD!$G:$G,I4)</f>
        <v>0</v>
      </c>
      <c r="J18" s="92">
        <f>COUNTIFS(WTG_BD!$F:$F,"&gt;="&amp;Analytices!$B$2,WTG_BD!$F:$F,"&lt;="&amp;Analytices!$B$3,WTG_BD!$G:$G,J4)</f>
        <v>0</v>
      </c>
      <c r="K18" s="92">
        <f>COUNTIFS(WTG_BD!$F:$F,"&gt;="&amp;Analytices!$B$2,WTG_BD!$F:$F,"&lt;="&amp;Analytices!$B$3,WTG_BD!$G:$G,K4)</f>
        <v>0</v>
      </c>
      <c r="L18" s="92">
        <f>COUNTIFS(WTG_BD!$F:$F,"&gt;="&amp;Analytices!$B$2,WTG_BD!$F:$F,"&lt;="&amp;Analytices!$B$3,WTG_BD!$G:$G,L4)</f>
        <v>0</v>
      </c>
      <c r="M18" s="92">
        <f>COUNTIFS(WTG_BD!$F:$F,"&gt;="&amp;Analytices!$B$2,WTG_BD!$F:$F,"&lt;="&amp;Analytices!$B$3,WTG_BD!$G:$G,M4)</f>
        <v>0</v>
      </c>
      <c r="N18" s="92">
        <f>COUNTIFS(WTG_BD!$F:$F,"&gt;="&amp;Analytices!$B$2,WTG_BD!$F:$F,"&lt;="&amp;Analytices!$B$3,WTG_BD!$G:$G,N4)</f>
        <v>0</v>
      </c>
      <c r="O18" s="92">
        <f>COUNTIFS(WTG_BD!$F:$F,"&gt;="&amp;Analytices!$B$2,WTG_BD!$F:$F,"&lt;="&amp;Analytices!$B$3,WTG_BD!$G:$G,O4)</f>
        <v>0</v>
      </c>
      <c r="P18" s="92">
        <f>COUNTIFS(WTG_BD!$F:$F,"&gt;="&amp;Analytices!$B$2,WTG_BD!$F:$F,"&lt;="&amp;Analytices!$B$3,WTG_BD!$G:$G,P4)</f>
        <v>0</v>
      </c>
      <c r="Q18" s="92">
        <f>COUNTIFS(WTG_BD!$F:$F,"&gt;="&amp;Analytices!$B$2,WTG_BD!$F:$F,"&lt;="&amp;Analytices!$B$3,WTG_BD!$G:$G,Q4)</f>
        <v>0</v>
      </c>
      <c r="R18" s="92">
        <f>COUNTIFS(WTG_BD!$F:$F,"&gt;="&amp;Analytices!$B$2,WTG_BD!$F:$F,"&lt;="&amp;Analytices!$B$3,WTG_BD!$G:$G,R4)</f>
        <v>1</v>
      </c>
      <c r="S18" s="92">
        <f>COUNTIFS(WTG_BD!$F:$F,"&gt;="&amp;Analytices!$B$2,WTG_BD!$F:$F,"&lt;="&amp;Analytices!$B$3,WTG_BD!$G:$G,S4)</f>
        <v>0</v>
      </c>
      <c r="T18" s="92">
        <f>COUNTIFS(WTG_BD!$F:$F,"&gt;="&amp;Analytices!$B$2,WTG_BD!$F:$F,"&lt;="&amp;Analytices!$B$3,WTG_BD!$G:$G,T4)</f>
        <v>0</v>
      </c>
      <c r="U18" s="92">
        <f>COUNTIFS(WTG_BD!$F:$F,"&gt;="&amp;Analytices!$B$2,WTG_BD!$F:$F,"&lt;="&amp;Analytices!$B$3,WTG_BD!$G:$G,U4)</f>
        <v>0</v>
      </c>
      <c r="V18" s="92">
        <f>COUNTIFS(WTG_BD!$F:$F,"&gt;="&amp;Analytices!$B$2,WTG_BD!$F:$F,"&lt;="&amp;Analytices!$B$3,WTG_BD!$G:$G,V4)</f>
        <v>0</v>
      </c>
      <c r="W18" s="92">
        <f>COUNTIFS(WTG_BD!$F:$F,"&gt;="&amp;Analytices!$B$2,WTG_BD!$F:$F,"&lt;="&amp;Analytices!$B$3,WTG_BD!$G:$G,W4)</f>
        <v>0</v>
      </c>
      <c r="X18" s="92">
        <f>COUNTIFS(WTG_BD!$F:$F,"&gt;="&amp;Analytices!$B$2,WTG_BD!$F:$F,"&lt;="&amp;Analytices!$B$3,WTG_BD!$G:$G,X4)</f>
        <v>0</v>
      </c>
      <c r="Y18" s="92">
        <f>COUNTIFS(WTG_BD!$F:$F,"&gt;="&amp;Analytices!$B$2,WTG_BD!$F:$F,"&lt;="&amp;Analytices!$B$3,WTG_BD!$G:$G,Y4)</f>
        <v>0</v>
      </c>
      <c r="Z18" s="92">
        <f>COUNTIFS(WTG_BD!$F:$F,"&gt;="&amp;Analytices!$B$2,WTG_BD!$F:$F,"&lt;="&amp;Analytices!$B$3,WTG_BD!$G:$G,Z4)</f>
        <v>1</v>
      </c>
      <c r="AA18" s="92">
        <f>COUNTIFS(WTG_BD!$F:$F,"&gt;="&amp;Analytices!$B$2,WTG_BD!$F:$F,"&lt;="&amp;Analytices!$B$3,WTG_BD!$G:$G,AA4)</f>
        <v>0</v>
      </c>
      <c r="AB18" s="92">
        <f>COUNTIFS(WTG_BD!$F:$F,"&gt;="&amp;Analytices!$B$2,WTG_BD!$F:$F,"&lt;="&amp;Analytices!$B$3,WTG_BD!$G:$G,AB4)</f>
        <v>1</v>
      </c>
      <c r="AC18" s="92">
        <f>COUNTIFS(WTG_BD!$F:$F,"&gt;="&amp;Analytices!$B$2,WTG_BD!$F:$F,"&lt;="&amp;Analytices!$B$3,WTG_BD!$G:$G,AC4)</f>
        <v>1</v>
      </c>
      <c r="AD18" s="92">
        <f>COUNTIFS(WTG_BD!$F:$F,"&gt;="&amp;Analytices!$B$2,WTG_BD!$F:$F,"&lt;="&amp;Analytices!$B$3,WTG_BD!$G:$G,AD4)</f>
        <v>0</v>
      </c>
      <c r="AE18" s="92">
        <f>COUNTIFS(WTG_BD!$F:$F,"&gt;="&amp;Analytices!$B$2,WTG_BD!$F:$F,"&lt;="&amp;Analytices!$B$3,WTG_BD!$G:$G,AE4)</f>
        <v>2</v>
      </c>
      <c r="AF18" s="92">
        <f>COUNTIFS(WTG_BD!$F:$F,"&gt;="&amp;Analytices!$B$2,WTG_BD!$F:$F,"&lt;="&amp;Analytices!$B$3,WTG_BD!$G:$G,AF4)</f>
        <v>0</v>
      </c>
      <c r="AG18" s="92">
        <f>COUNTIFS(WTG_BD!$F:$F,"&gt;="&amp;Analytices!$B$2,WTG_BD!$F:$F,"&lt;="&amp;Analytices!$B$3,WTG_BD!$G:$G,AG4)</f>
        <v>0</v>
      </c>
      <c r="AH18" s="92">
        <f>COUNTIFS(WTG_BD!$F:$F,"&gt;="&amp;Analytices!$B$2,WTG_BD!$F:$F,"&lt;="&amp;Analytices!$B$3,WTG_BD!$G:$G,AH4)</f>
        <v>0</v>
      </c>
      <c r="AI18" s="92">
        <f>COUNTIFS(WTG_BD!$F:$F,"&gt;="&amp;Analytices!$B$2,WTG_BD!$F:$F,"&lt;="&amp;Analytices!$B$3,WTG_BD!$G:$G,AI4)</f>
        <v>0</v>
      </c>
      <c r="AJ18" s="92">
        <f>COUNTIFS(WTG_BD!$F:$F,"&gt;="&amp;Analytices!$B$2,WTG_BD!$F:$F,"&lt;="&amp;Analytices!$B$3,WTG_BD!$G:$G,AJ4)</f>
        <v>0</v>
      </c>
      <c r="AK18" s="92">
        <f>COUNTIFS(WTG_BD!$F:$F,"&gt;="&amp;Analytices!$B$2,WTG_BD!$F:$F,"&lt;="&amp;Analytices!$B$3,WTG_BD!$G:$G,AK4)</f>
        <v>0</v>
      </c>
      <c r="AL18" s="92">
        <f>COUNTIFS(WTG_BD!$F:$F,"&gt;="&amp;Analytices!$B$2,WTG_BD!$F:$F,"&lt;="&amp;Analytices!$B$3,WTG_BD!$G:$G,AL4)</f>
        <v>0</v>
      </c>
      <c r="AM18" s="92">
        <f>COUNTIFS(WTG_BD!$F:$F,"&gt;="&amp;Analytices!$B$2,WTG_BD!$F:$F,"&lt;="&amp;Analytices!$B$3,WTG_BD!$G:$G,AM4)</f>
        <v>0</v>
      </c>
      <c r="AN18" s="92">
        <f>COUNTIFS(WTG_BD!$F:$F,"&gt;="&amp;Analytices!$B$2,WTG_BD!$F:$F,"&lt;="&amp;Analytices!$B$3,WTG_BD!$G:$G,AN4)</f>
        <v>0</v>
      </c>
    </row>
    <row r="19" spans="1:40" ht="29.1" customHeight="1">
      <c r="A19" s="85" t="s">
        <v>168</v>
      </c>
      <c r="B19" s="92">
        <f>IFERROR(B17/B18,0)</f>
        <v>0</v>
      </c>
      <c r="C19" s="92">
        <f t="shared" ref="C19:AN19" si="5">IFERROR(C17/C18,0)</f>
        <v>0</v>
      </c>
      <c r="D19" s="92">
        <f t="shared" si="5"/>
        <v>0</v>
      </c>
      <c r="E19" s="92">
        <f t="shared" si="5"/>
        <v>0</v>
      </c>
      <c r="F19" s="92">
        <f t="shared" si="5"/>
        <v>0</v>
      </c>
      <c r="G19" s="92">
        <f t="shared" si="5"/>
        <v>0</v>
      </c>
      <c r="H19" s="92">
        <f t="shared" si="5"/>
        <v>0</v>
      </c>
      <c r="I19" s="92">
        <f t="shared" si="5"/>
        <v>0</v>
      </c>
      <c r="J19" s="92">
        <f t="shared" si="5"/>
        <v>0</v>
      </c>
      <c r="K19" s="92">
        <f t="shared" si="5"/>
        <v>0</v>
      </c>
      <c r="L19" s="92">
        <f t="shared" si="5"/>
        <v>0</v>
      </c>
      <c r="M19" s="92">
        <f t="shared" si="5"/>
        <v>0</v>
      </c>
      <c r="N19" s="92">
        <f t="shared" si="5"/>
        <v>0</v>
      </c>
      <c r="O19" s="92">
        <f t="shared" si="5"/>
        <v>0</v>
      </c>
      <c r="P19" s="92">
        <f t="shared" si="5"/>
        <v>0</v>
      </c>
      <c r="Q19" s="92">
        <f t="shared" si="5"/>
        <v>0</v>
      </c>
      <c r="R19" s="92">
        <f t="shared" si="5"/>
        <v>23.999722222222225</v>
      </c>
      <c r="S19" s="92">
        <f t="shared" si="5"/>
        <v>0</v>
      </c>
      <c r="T19" s="92">
        <f t="shared" si="5"/>
        <v>0</v>
      </c>
      <c r="U19" s="92">
        <f t="shared" si="5"/>
        <v>0</v>
      </c>
      <c r="V19" s="92">
        <f t="shared" si="5"/>
        <v>0</v>
      </c>
      <c r="W19" s="92">
        <f t="shared" si="5"/>
        <v>0</v>
      </c>
      <c r="X19" s="92">
        <f t="shared" si="5"/>
        <v>0</v>
      </c>
      <c r="Y19" s="92">
        <f t="shared" si="5"/>
        <v>0</v>
      </c>
      <c r="Z19" s="92">
        <f t="shared" si="5"/>
        <v>1.8166666666666655</v>
      </c>
      <c r="AA19" s="92">
        <f t="shared" si="5"/>
        <v>0</v>
      </c>
      <c r="AB19" s="92">
        <f t="shared" si="5"/>
        <v>5.5333333333333323</v>
      </c>
      <c r="AC19" s="92">
        <f t="shared" si="5"/>
        <v>23.999722222222225</v>
      </c>
      <c r="AD19" s="92">
        <f t="shared" si="5"/>
        <v>0</v>
      </c>
      <c r="AE19" s="92">
        <f t="shared" si="5"/>
        <v>11.991666666666667</v>
      </c>
      <c r="AF19" s="92">
        <f t="shared" si="5"/>
        <v>0</v>
      </c>
      <c r="AG19" s="92">
        <f t="shared" si="5"/>
        <v>0</v>
      </c>
      <c r="AH19" s="92">
        <f t="shared" si="5"/>
        <v>0</v>
      </c>
      <c r="AI19" s="92">
        <f t="shared" si="5"/>
        <v>0</v>
      </c>
      <c r="AJ19" s="92">
        <f t="shared" si="5"/>
        <v>0</v>
      </c>
      <c r="AK19" s="92">
        <f t="shared" si="5"/>
        <v>0</v>
      </c>
      <c r="AL19" s="92">
        <f t="shared" si="5"/>
        <v>0</v>
      </c>
      <c r="AM19" s="92">
        <f t="shared" si="5"/>
        <v>0</v>
      </c>
      <c r="AN19" s="92">
        <f t="shared" si="5"/>
        <v>0</v>
      </c>
    </row>
    <row r="20" spans="1:40" ht="29.1" customHeight="1">
      <c r="A20" s="85" t="s">
        <v>169</v>
      </c>
      <c r="B20" s="92">
        <f>IFERROR(($C$3-B17)/B18,$C$3)</f>
        <v>24</v>
      </c>
      <c r="C20" s="92">
        <f t="shared" ref="C20:AN20" si="6">IFERROR(($C$3-C17)/C18,$C$3)</f>
        <v>24</v>
      </c>
      <c r="D20" s="92">
        <f t="shared" si="6"/>
        <v>24</v>
      </c>
      <c r="E20" s="92">
        <f t="shared" si="6"/>
        <v>24</v>
      </c>
      <c r="F20" s="92">
        <f t="shared" si="6"/>
        <v>24</v>
      </c>
      <c r="G20" s="92">
        <f t="shared" si="6"/>
        <v>24</v>
      </c>
      <c r="H20" s="92">
        <f t="shared" si="6"/>
        <v>24</v>
      </c>
      <c r="I20" s="92">
        <f t="shared" si="6"/>
        <v>24</v>
      </c>
      <c r="J20" s="92">
        <f t="shared" si="6"/>
        <v>24</v>
      </c>
      <c r="K20" s="92">
        <f t="shared" si="6"/>
        <v>24</v>
      </c>
      <c r="L20" s="92">
        <f t="shared" si="6"/>
        <v>24</v>
      </c>
      <c r="M20" s="92">
        <f t="shared" si="6"/>
        <v>24</v>
      </c>
      <c r="N20" s="92">
        <f t="shared" si="6"/>
        <v>24</v>
      </c>
      <c r="O20" s="92">
        <f t="shared" si="6"/>
        <v>24</v>
      </c>
      <c r="P20" s="92">
        <f t="shared" si="6"/>
        <v>24</v>
      </c>
      <c r="Q20" s="92">
        <f t="shared" si="6"/>
        <v>24</v>
      </c>
      <c r="R20" s="92">
        <f t="shared" si="6"/>
        <v>2.7777777777515666E-4</v>
      </c>
      <c r="S20" s="92">
        <f t="shared" si="6"/>
        <v>24</v>
      </c>
      <c r="T20" s="92">
        <f t="shared" si="6"/>
        <v>24</v>
      </c>
      <c r="U20" s="92">
        <f t="shared" si="6"/>
        <v>24</v>
      </c>
      <c r="V20" s="92">
        <f t="shared" si="6"/>
        <v>24</v>
      </c>
      <c r="W20" s="92">
        <f t="shared" si="6"/>
        <v>24</v>
      </c>
      <c r="X20" s="92">
        <f t="shared" si="6"/>
        <v>24</v>
      </c>
      <c r="Y20" s="92">
        <f t="shared" si="6"/>
        <v>24</v>
      </c>
      <c r="Z20" s="92">
        <f t="shared" si="6"/>
        <v>22.183333333333334</v>
      </c>
      <c r="AA20" s="92">
        <f t="shared" si="6"/>
        <v>24</v>
      </c>
      <c r="AB20" s="92">
        <f t="shared" si="6"/>
        <v>18.466666666666669</v>
      </c>
      <c r="AC20" s="92">
        <f t="shared" si="6"/>
        <v>2.7777777777515666E-4</v>
      </c>
      <c r="AD20" s="92">
        <f t="shared" si="6"/>
        <v>24</v>
      </c>
      <c r="AE20" s="92">
        <f t="shared" si="6"/>
        <v>8.3333333333328596E-3</v>
      </c>
      <c r="AF20" s="92">
        <f t="shared" si="6"/>
        <v>24</v>
      </c>
      <c r="AG20" s="92">
        <f t="shared" si="6"/>
        <v>24</v>
      </c>
      <c r="AH20" s="92">
        <f t="shared" si="6"/>
        <v>24</v>
      </c>
      <c r="AI20" s="92">
        <f t="shared" si="6"/>
        <v>24</v>
      </c>
      <c r="AJ20" s="92">
        <f t="shared" si="6"/>
        <v>24</v>
      </c>
      <c r="AK20" s="92">
        <f t="shared" si="6"/>
        <v>24</v>
      </c>
      <c r="AL20" s="92">
        <f t="shared" si="6"/>
        <v>24</v>
      </c>
      <c r="AM20" s="92">
        <f t="shared" si="6"/>
        <v>24</v>
      </c>
      <c r="AN20" s="92">
        <f t="shared" si="6"/>
        <v>24</v>
      </c>
    </row>
    <row r="21" spans="1:40" ht="29.1" customHeight="1">
      <c r="A21" s="85" t="s">
        <v>170</v>
      </c>
      <c r="B21" s="92">
        <f>ROUND(AVERAGEIFS(Input_Raw!AS:AS,Input_Raw!$A:$A,"&gt;="&amp;Analytices!$B$2,Input_Raw!$A:$A,"&lt;="&amp;Analytices!$B$3),1)</f>
        <v>3.9</v>
      </c>
      <c r="C21" s="92">
        <f>ROUND(AVERAGEIFS(Input_Raw!AT:AT,Input_Raw!$A:$A,"&gt;="&amp;Analytices!$B$2,Input_Raw!$A:$A,"&lt;="&amp;Analytices!$B$3),1)</f>
        <v>4</v>
      </c>
      <c r="D21" s="92">
        <f>ROUND(AVERAGEIFS(Input_Raw!AU:AU,Input_Raw!$A:$A,"&gt;="&amp;Analytices!$B$2,Input_Raw!$A:$A,"&lt;="&amp;Analytices!$B$3),1)</f>
        <v>3.9</v>
      </c>
      <c r="E21" s="92">
        <f>ROUND(AVERAGEIFS(Input_Raw!AV:AV,Input_Raw!$A:$A,"&gt;="&amp;Analytices!$B$2,Input_Raw!$A:$A,"&lt;="&amp;Analytices!$B$3),1)</f>
        <v>3.8</v>
      </c>
      <c r="F21" s="92">
        <f>ROUND(AVERAGEIFS(Input_Raw!AW:AW,Input_Raw!$A:$A,"&gt;="&amp;Analytices!$B$2,Input_Raw!$A:$A,"&lt;="&amp;Analytices!$B$3),1)</f>
        <v>3.4</v>
      </c>
      <c r="G21" s="92">
        <f>ROUND(AVERAGEIFS(Input_Raw!AX:AX,Input_Raw!$A:$A,"&gt;="&amp;Analytices!$B$2,Input_Raw!$A:$A,"&lt;="&amp;Analytices!$B$3),1)</f>
        <v>4.0999999999999996</v>
      </c>
      <c r="H21" s="92">
        <f>ROUND(AVERAGEIFS(Input_Raw!AY:AY,Input_Raw!$A:$A,"&gt;="&amp;Analytices!$B$2,Input_Raw!$A:$A,"&lt;="&amp;Analytices!$B$3),1)</f>
        <v>3.8</v>
      </c>
      <c r="I21" s="92">
        <f>ROUND(AVERAGEIFS(Input_Raw!AZ:AZ,Input_Raw!$A:$A,"&gt;="&amp;Analytices!$B$2,Input_Raw!$A:$A,"&lt;="&amp;Analytices!$B$3),1)</f>
        <v>4.0999999999999996</v>
      </c>
      <c r="J21" s="92">
        <f>ROUND(AVERAGEIFS(Input_Raw!BA:BA,Input_Raw!$A:$A,"&gt;="&amp;Analytices!$B$2,Input_Raw!$A:$A,"&lt;="&amp;Analytices!$B$3),1)</f>
        <v>3.8</v>
      </c>
      <c r="K21" s="92">
        <f>ROUND(AVERAGEIFS(Input_Raw!BB:BB,Input_Raw!$A:$A,"&gt;="&amp;Analytices!$B$2,Input_Raw!$A:$A,"&lt;="&amp;Analytices!$B$3),1)</f>
        <v>3.9</v>
      </c>
      <c r="L21" s="92">
        <f>ROUND(AVERAGEIFS(Input_Raw!BC:BC,Input_Raw!$A:$A,"&gt;="&amp;Analytices!$B$2,Input_Raw!$A:$A,"&lt;="&amp;Analytices!$B$3),1)</f>
        <v>4.0999999999999996</v>
      </c>
      <c r="M21" s="92">
        <f>ROUND(AVERAGEIFS(Input_Raw!BD:BD,Input_Raw!$A:$A,"&gt;="&amp;Analytices!$B$2,Input_Raw!$A:$A,"&lt;="&amp;Analytices!$B$3),1)</f>
        <v>4</v>
      </c>
      <c r="N21" s="92">
        <f>ROUND(AVERAGEIFS(Input_Raw!BE:BE,Input_Raw!$A:$A,"&gt;="&amp;Analytices!$B$2,Input_Raw!$A:$A,"&lt;="&amp;Analytices!$B$3),1)</f>
        <v>4</v>
      </c>
      <c r="O21" s="92">
        <f>ROUND(AVERAGEIFS(Input_Raw!BF:BF,Input_Raw!$A:$A,"&gt;="&amp;Analytices!$B$2,Input_Raw!$A:$A,"&lt;="&amp;Analytices!$B$3),1)</f>
        <v>4</v>
      </c>
      <c r="P21" s="92">
        <f>ROUND(AVERAGEIFS(Input_Raw!BG:BG,Input_Raw!$A:$A,"&gt;="&amp;Analytices!$B$2,Input_Raw!$A:$A,"&lt;="&amp;Analytices!$B$3),1)</f>
        <v>3.9</v>
      </c>
      <c r="Q21" s="92">
        <f>ROUND(AVERAGEIFS(Input_Raw!BH:BH,Input_Raw!$A:$A,"&gt;="&amp;Analytices!$B$2,Input_Raw!$A:$A,"&lt;="&amp;Analytices!$B$3),1)</f>
        <v>4.2</v>
      </c>
      <c r="R21" s="92">
        <f>ROUND(AVERAGEIFS(Input_Raw!BI:BI,Input_Raw!$A:$A,"&gt;="&amp;Analytices!$B$2,Input_Raw!$A:$A,"&lt;="&amp;Analytices!$B$3),1)</f>
        <v>0</v>
      </c>
      <c r="S21" s="92">
        <f>ROUND(AVERAGEIFS(Input_Raw!BJ:BJ,Input_Raw!$A:$A,"&gt;="&amp;Analytices!$B$2,Input_Raw!$A:$A,"&lt;="&amp;Analytices!$B$3),1)</f>
        <v>4.0999999999999996</v>
      </c>
      <c r="T21" s="92">
        <f>ROUND(AVERAGEIFS(Input_Raw!BK:BK,Input_Raw!$A:$A,"&gt;="&amp;Analytices!$B$2,Input_Raw!$A:$A,"&lt;="&amp;Analytices!$B$3),1)</f>
        <v>4.3</v>
      </c>
      <c r="U21" s="92">
        <f>ROUND(AVERAGEIFS(Input_Raw!BL:BL,Input_Raw!$A:$A,"&gt;="&amp;Analytices!$B$2,Input_Raw!$A:$A,"&lt;="&amp;Analytices!$B$3),1)</f>
        <v>4.0999999999999996</v>
      </c>
      <c r="V21" s="92">
        <f>ROUND(AVERAGEIFS(Input_Raw!BM:BM,Input_Raw!$A:$A,"&gt;="&amp;Analytices!$B$2,Input_Raw!$A:$A,"&lt;="&amp;Analytices!$B$3),1)</f>
        <v>4.5</v>
      </c>
      <c r="W21" s="92">
        <f>ROUND(AVERAGEIFS(Input_Raw!BN:BN,Input_Raw!$A:$A,"&gt;="&amp;Analytices!$B$2,Input_Raw!$A:$A,"&lt;="&amp;Analytices!$B$3),1)</f>
        <v>3.8</v>
      </c>
      <c r="X21" s="92">
        <f>ROUND(AVERAGEIFS(Input_Raw!BO:BO,Input_Raw!$A:$A,"&gt;="&amp;Analytices!$B$2,Input_Raw!$A:$A,"&lt;="&amp;Analytices!$B$3),1)</f>
        <v>3.1</v>
      </c>
      <c r="Y21" s="92">
        <f>ROUND(AVERAGEIFS(Input_Raw!BP:BP,Input_Raw!$A:$A,"&gt;="&amp;Analytices!$B$2,Input_Raw!$A:$A,"&lt;="&amp;Analytices!$B$3),1)</f>
        <v>3.5</v>
      </c>
      <c r="Z21" s="92">
        <f>ROUND(AVERAGEIFS(Input_Raw!BQ:BQ,Input_Raw!$A:$A,"&gt;="&amp;Analytices!$B$2,Input_Raw!$A:$A,"&lt;="&amp;Analytices!$B$3),1)</f>
        <v>3</v>
      </c>
      <c r="AA21" s="92">
        <f>ROUND(AVERAGEIFS(Input_Raw!BR:BR,Input_Raw!$A:$A,"&gt;="&amp;Analytices!$B$2,Input_Raw!$A:$A,"&lt;="&amp;Analytices!$B$3),1)</f>
        <v>3.4</v>
      </c>
      <c r="AB21" s="92">
        <f>ROUND(AVERAGEIFS(Input_Raw!BS:BS,Input_Raw!$A:$A,"&gt;="&amp;Analytices!$B$2,Input_Raw!$A:$A,"&lt;="&amp;Analytices!$B$3),1)</f>
        <v>3.5</v>
      </c>
      <c r="AC21" s="92">
        <f>ROUND(AVERAGEIFS(Input_Raw!BT:BT,Input_Raw!$A:$A,"&gt;="&amp;Analytices!$B$2,Input_Raw!$A:$A,"&lt;="&amp;Analytices!$B$3),1)</f>
        <v>0</v>
      </c>
      <c r="AD21" s="92">
        <f>ROUND(AVERAGEIFS(Input_Raw!BU:BU,Input_Raw!$A:$A,"&gt;="&amp;Analytices!$B$2,Input_Raw!$A:$A,"&lt;="&amp;Analytices!$B$3),1)</f>
        <v>3.3</v>
      </c>
      <c r="AE21" s="92">
        <f>ROUND(AVERAGEIFS(Input_Raw!BV:BV,Input_Raw!$A:$A,"&gt;="&amp;Analytices!$B$2,Input_Raw!$A:$A,"&lt;="&amp;Analytices!$B$3),1)</f>
        <v>0</v>
      </c>
      <c r="AF21" s="92">
        <f>ROUND(AVERAGEIFS(Input_Raw!BW:BW,Input_Raw!$A:$A,"&gt;="&amp;Analytices!$B$2,Input_Raw!$A:$A,"&lt;="&amp;Analytices!$B$3),1)</f>
        <v>3.3</v>
      </c>
      <c r="AG21" s="92">
        <f>ROUND(AVERAGEIFS(Input_Raw!BX:BX,Input_Raw!$A:$A,"&gt;="&amp;Analytices!$B$2,Input_Raw!$A:$A,"&lt;="&amp;Analytices!$B$3),1)</f>
        <v>3.5</v>
      </c>
      <c r="AH21" s="92">
        <f>ROUND(AVERAGEIFS(Input_Raw!BY:BY,Input_Raw!$A:$A,"&gt;="&amp;Analytices!$B$2,Input_Raw!$A:$A,"&lt;="&amp;Analytices!$B$3),1)</f>
        <v>3.4</v>
      </c>
      <c r="AI21" s="92">
        <f>ROUND(AVERAGEIFS(Input_Raw!BZ:BZ,Input_Raw!$A:$A,"&gt;="&amp;Analytices!$B$2,Input_Raw!$A:$A,"&lt;="&amp;Analytices!$B$3),1)</f>
        <v>3.4</v>
      </c>
      <c r="AJ21" s="92">
        <f>ROUND(AVERAGEIFS(Input_Raw!CA:CA,Input_Raw!$A:$A,"&gt;="&amp;Analytices!$B$2,Input_Raw!$A:$A,"&lt;="&amp;Analytices!$B$3),1)</f>
        <v>3.7</v>
      </c>
      <c r="AK21" s="92">
        <f>ROUND(AVERAGEIFS(Input_Raw!CB:CB,Input_Raw!$A:$A,"&gt;="&amp;Analytices!$B$2,Input_Raw!$A:$A,"&lt;="&amp;Analytices!$B$3),1)</f>
        <v>4</v>
      </c>
      <c r="AL21" s="92">
        <f>ROUND(AVERAGEIFS(Input_Raw!CC:CC,Input_Raw!$A:$A,"&gt;="&amp;Analytices!$B$2,Input_Raw!$A:$A,"&lt;="&amp;Analytices!$B$3),1)</f>
        <v>3.4</v>
      </c>
      <c r="AM21" s="92">
        <f>ROUND(AVERAGEIFS(Input_Raw!CD:CD,Input_Raw!$A:$A,"&gt;="&amp;Analytices!$B$2,Input_Raw!$A:$A,"&lt;="&amp;Analytices!$B$3),1)</f>
        <v>3.4</v>
      </c>
      <c r="AN21" s="92">
        <f>ROUND(AVERAGEIFS(Input_Raw!CE:CE,Input_Raw!$A:$A,"&gt;="&amp;Analytices!$B$2,Input_Raw!$A:$A,"&lt;="&amp;Analytices!$B$3),1)</f>
        <v>3.5</v>
      </c>
    </row>
    <row r="22" spans="1:40" ht="29.1" customHeight="1">
      <c r="A22" s="97"/>
    </row>
    <row r="23" spans="1:40" ht="29.1" customHeight="1">
      <c r="A23" s="404" t="s">
        <v>171</v>
      </c>
      <c r="B23" s="404"/>
      <c r="C23" s="404"/>
      <c r="D23" s="404"/>
      <c r="E23" s="404"/>
      <c r="F23" s="404"/>
      <c r="G23" s="404"/>
    </row>
    <row r="24" spans="1:40" ht="29.1" customHeight="1">
      <c r="A24" s="98">
        <v>45017</v>
      </c>
    </row>
    <row r="25" spans="1:40" ht="29.1" customHeight="1">
      <c r="D25" s="402" t="s">
        <v>172</v>
      </c>
      <c r="E25" s="402"/>
      <c r="F25" s="402" t="s">
        <v>173</v>
      </c>
      <c r="G25" s="402"/>
    </row>
    <row r="26" spans="1:40" ht="29.1" customHeight="1">
      <c r="D26" s="402">
        <f ca="1">F26</f>
        <v>19944</v>
      </c>
      <c r="E26" s="402"/>
      <c r="F26" s="403">
        <f ca="1">((TODAY()-1)-(A24))*24</f>
        <v>19944</v>
      </c>
      <c r="G26" s="403"/>
    </row>
    <row r="27" spans="1:40" ht="29.1" customHeight="1">
      <c r="A27" s="112" t="s">
        <v>174</v>
      </c>
      <c r="B27" s="94" t="s">
        <v>175</v>
      </c>
    </row>
    <row r="29" spans="1:40" ht="29.1" customHeight="1">
      <c r="A29" s="112" t="s">
        <v>176</v>
      </c>
      <c r="B29" s="94" t="s">
        <v>177</v>
      </c>
      <c r="C29" s="94" t="s">
        <v>178</v>
      </c>
      <c r="D29" s="94" t="s">
        <v>179</v>
      </c>
      <c r="E29" s="94" t="s">
        <v>180</v>
      </c>
    </row>
    <row r="30" spans="1:40" ht="29.1" customHeight="1">
      <c r="A30" s="113" t="s">
        <v>181</v>
      </c>
      <c r="B30" s="114">
        <v>0.21666666666666856</v>
      </c>
      <c r="C30" s="114">
        <v>1</v>
      </c>
      <c r="D30" s="92">
        <f>B30/C30</f>
        <v>0.21666666666666856</v>
      </c>
      <c r="E30" s="92">
        <f ca="1">$D$26/C30</f>
        <v>19944</v>
      </c>
    </row>
    <row r="31" spans="1:40" ht="29.1" customHeight="1">
      <c r="A31" s="113" t="s">
        <v>182</v>
      </c>
      <c r="B31" s="114">
        <v>9.3333333333333357</v>
      </c>
      <c r="C31" s="114">
        <v>2</v>
      </c>
      <c r="D31" s="92">
        <f t="shared" ref="D31:D94" si="7">B31/C31</f>
        <v>4.6666666666666679</v>
      </c>
      <c r="E31" s="92">
        <f t="shared" ref="E31:E94" ca="1" si="8">$D$26/C31</f>
        <v>9972</v>
      </c>
    </row>
    <row r="32" spans="1:40" ht="29.1" customHeight="1">
      <c r="A32" s="113" t="s">
        <v>183</v>
      </c>
      <c r="B32" s="114">
        <v>6.0666666666666691</v>
      </c>
      <c r="C32" s="114">
        <v>2</v>
      </c>
      <c r="D32" s="92">
        <f t="shared" si="7"/>
        <v>3.0333333333333345</v>
      </c>
      <c r="E32" s="92">
        <f t="shared" ca="1" si="8"/>
        <v>9972</v>
      </c>
    </row>
    <row r="33" spans="1:5" ht="29.1" customHeight="1">
      <c r="A33" s="113" t="s">
        <v>184</v>
      </c>
      <c r="B33" s="114">
        <v>33.93333333333333</v>
      </c>
      <c r="C33" s="114">
        <v>20</v>
      </c>
      <c r="D33" s="92">
        <f t="shared" si="7"/>
        <v>1.6966666666666665</v>
      </c>
      <c r="E33" s="92">
        <f t="shared" ca="1" si="8"/>
        <v>997.2</v>
      </c>
    </row>
    <row r="34" spans="1:5" ht="29.1" customHeight="1">
      <c r="A34" s="113" t="s">
        <v>185</v>
      </c>
      <c r="B34" s="114">
        <v>14.616666666666678</v>
      </c>
      <c r="C34" s="114">
        <v>7</v>
      </c>
      <c r="D34" s="92">
        <f t="shared" si="7"/>
        <v>2.0880952380952396</v>
      </c>
      <c r="E34" s="92">
        <f t="shared" ca="1" si="8"/>
        <v>2849.1428571428573</v>
      </c>
    </row>
    <row r="35" spans="1:5" ht="29.1" customHeight="1">
      <c r="A35" s="113" t="s">
        <v>186</v>
      </c>
      <c r="B35" s="114">
        <v>22.416666666666664</v>
      </c>
      <c r="C35" s="114">
        <v>6</v>
      </c>
      <c r="D35" s="92">
        <f t="shared" si="7"/>
        <v>3.7361111111111107</v>
      </c>
      <c r="E35" s="92">
        <f t="shared" ca="1" si="8"/>
        <v>3324</v>
      </c>
    </row>
    <row r="36" spans="1:5" ht="29.1" customHeight="1">
      <c r="A36" s="113" t="s">
        <v>187</v>
      </c>
      <c r="B36" s="114">
        <v>325.73333333333335</v>
      </c>
      <c r="C36" s="114">
        <v>93</v>
      </c>
      <c r="D36" s="92">
        <f t="shared" si="7"/>
        <v>3.5025089605734769</v>
      </c>
      <c r="E36" s="92">
        <f t="shared" ca="1" si="8"/>
        <v>214.45161290322579</v>
      </c>
    </row>
    <row r="37" spans="1:5" ht="29.1" customHeight="1">
      <c r="A37" s="113" t="s">
        <v>188</v>
      </c>
      <c r="B37" s="114">
        <v>31.283333333333331</v>
      </c>
      <c r="C37" s="114">
        <v>12</v>
      </c>
      <c r="D37" s="92">
        <f t="shared" si="7"/>
        <v>2.6069444444444443</v>
      </c>
      <c r="E37" s="92">
        <f t="shared" ca="1" si="8"/>
        <v>1662</v>
      </c>
    </row>
    <row r="38" spans="1:5" ht="29.1" customHeight="1">
      <c r="A38" s="113" t="s">
        <v>189</v>
      </c>
      <c r="B38" s="114">
        <v>30.949999999999996</v>
      </c>
      <c r="C38" s="114">
        <v>19</v>
      </c>
      <c r="D38" s="92">
        <f t="shared" si="7"/>
        <v>1.6289473684210525</v>
      </c>
      <c r="E38" s="92">
        <f t="shared" ca="1" si="8"/>
        <v>1049.6842105263158</v>
      </c>
    </row>
    <row r="39" spans="1:5" ht="29.1" customHeight="1">
      <c r="A39" s="113" t="s">
        <v>190</v>
      </c>
      <c r="B39" s="114">
        <v>72.816666666666649</v>
      </c>
      <c r="C39" s="114">
        <v>10</v>
      </c>
      <c r="D39" s="92">
        <f t="shared" si="7"/>
        <v>7.2816666666666645</v>
      </c>
      <c r="E39" s="92">
        <f t="shared" ca="1" si="8"/>
        <v>1994.4</v>
      </c>
    </row>
    <row r="40" spans="1:5" ht="29.1" customHeight="1">
      <c r="A40" s="113" t="s">
        <v>191</v>
      </c>
      <c r="B40" s="114">
        <v>5.1666666666666679</v>
      </c>
      <c r="C40" s="114">
        <v>1</v>
      </c>
      <c r="D40" s="92">
        <f t="shared" si="7"/>
        <v>5.1666666666666679</v>
      </c>
      <c r="E40" s="92">
        <f t="shared" ca="1" si="8"/>
        <v>19944</v>
      </c>
    </row>
    <row r="41" spans="1:5" ht="29.1" customHeight="1">
      <c r="A41" s="113" t="s">
        <v>192</v>
      </c>
      <c r="B41" s="114">
        <v>13.316666666666663</v>
      </c>
      <c r="C41" s="114">
        <v>5</v>
      </c>
      <c r="D41" s="92">
        <f t="shared" si="7"/>
        <v>2.6633333333333327</v>
      </c>
      <c r="E41" s="92">
        <f t="shared" ca="1" si="8"/>
        <v>3988.8</v>
      </c>
    </row>
    <row r="42" spans="1:5" ht="29.1" customHeight="1">
      <c r="A42" s="113" t="s">
        <v>193</v>
      </c>
      <c r="B42" s="114">
        <v>0.41666666666666785</v>
      </c>
      <c r="C42" s="114">
        <v>1</v>
      </c>
      <c r="D42" s="92">
        <f t="shared" si="7"/>
        <v>0.41666666666666785</v>
      </c>
      <c r="E42" s="92">
        <f t="shared" ca="1" si="8"/>
        <v>19944</v>
      </c>
    </row>
    <row r="43" spans="1:5" ht="29.1" customHeight="1">
      <c r="A43" s="113" t="s">
        <v>194</v>
      </c>
      <c r="B43" s="114">
        <v>0.33333333333333215</v>
      </c>
      <c r="C43" s="114">
        <v>2</v>
      </c>
      <c r="D43" s="92">
        <f t="shared" si="7"/>
        <v>0.16666666666666607</v>
      </c>
      <c r="E43" s="92">
        <f t="shared" ca="1" si="8"/>
        <v>9972</v>
      </c>
    </row>
    <row r="44" spans="1:5" ht="29.1" customHeight="1">
      <c r="A44" s="113" t="s">
        <v>195</v>
      </c>
      <c r="B44" s="114">
        <v>40.266666666666673</v>
      </c>
      <c r="C44" s="114">
        <v>13</v>
      </c>
      <c r="D44" s="92">
        <f t="shared" si="7"/>
        <v>3.097435897435898</v>
      </c>
      <c r="E44" s="92">
        <f t="shared" ca="1" si="8"/>
        <v>1534.1538461538462</v>
      </c>
    </row>
    <row r="45" spans="1:5" ht="29.1" customHeight="1">
      <c r="A45" s="113" t="s">
        <v>196</v>
      </c>
      <c r="B45" s="114">
        <v>9.9666666666666615</v>
      </c>
      <c r="C45" s="114">
        <v>7</v>
      </c>
      <c r="D45" s="92">
        <f t="shared" si="7"/>
        <v>1.423809523809523</v>
      </c>
      <c r="E45" s="92">
        <f t="shared" ca="1" si="8"/>
        <v>2849.1428571428573</v>
      </c>
    </row>
    <row r="46" spans="1:5" ht="29.1" customHeight="1">
      <c r="A46" s="113" t="s">
        <v>197</v>
      </c>
      <c r="B46" s="114">
        <v>45.133333333333333</v>
      </c>
      <c r="C46" s="114">
        <v>18</v>
      </c>
      <c r="D46" s="92">
        <f t="shared" si="7"/>
        <v>2.5074074074074075</v>
      </c>
      <c r="E46" s="92">
        <f t="shared" ca="1" si="8"/>
        <v>1108</v>
      </c>
    </row>
    <row r="47" spans="1:5" ht="29.1" customHeight="1">
      <c r="A47" s="113" t="s">
        <v>198</v>
      </c>
      <c r="B47" s="114">
        <v>1.8999999999999981</v>
      </c>
      <c r="C47" s="114">
        <v>2</v>
      </c>
      <c r="D47" s="92">
        <f t="shared" si="7"/>
        <v>0.94999999999999907</v>
      </c>
      <c r="E47" s="92">
        <f t="shared" ca="1" si="8"/>
        <v>9972</v>
      </c>
    </row>
    <row r="48" spans="1:5" ht="29.1" customHeight="1">
      <c r="A48" s="113" t="s">
        <v>199</v>
      </c>
      <c r="B48" s="114">
        <v>9.9833333333333307</v>
      </c>
      <c r="C48" s="114">
        <v>4</v>
      </c>
      <c r="D48" s="92">
        <f t="shared" si="7"/>
        <v>2.4958333333333327</v>
      </c>
      <c r="E48" s="92">
        <f t="shared" ca="1" si="8"/>
        <v>4986</v>
      </c>
    </row>
    <row r="49" spans="1:5" ht="29.1" customHeight="1">
      <c r="A49" s="113" t="s">
        <v>200</v>
      </c>
      <c r="B49" s="114">
        <v>13.5</v>
      </c>
      <c r="C49" s="114">
        <v>2</v>
      </c>
      <c r="D49" s="92">
        <f t="shared" si="7"/>
        <v>6.75</v>
      </c>
      <c r="E49" s="92">
        <f t="shared" ca="1" si="8"/>
        <v>9972</v>
      </c>
    </row>
    <row r="50" spans="1:5" ht="29.1" customHeight="1">
      <c r="A50" s="113" t="s">
        <v>201</v>
      </c>
      <c r="B50" s="114">
        <v>3.2500000000000018</v>
      </c>
      <c r="C50" s="114">
        <v>2</v>
      </c>
      <c r="D50" s="92">
        <f t="shared" si="7"/>
        <v>1.6250000000000009</v>
      </c>
      <c r="E50" s="92">
        <f t="shared" ca="1" si="8"/>
        <v>9972</v>
      </c>
    </row>
    <row r="51" spans="1:5" ht="29.1" customHeight="1">
      <c r="A51" s="113" t="s">
        <v>202</v>
      </c>
      <c r="B51" s="114">
        <v>14.86666666666666</v>
      </c>
      <c r="C51" s="114">
        <v>4</v>
      </c>
      <c r="D51" s="92">
        <f t="shared" si="7"/>
        <v>3.716666666666665</v>
      </c>
      <c r="E51" s="92">
        <f t="shared" ca="1" si="8"/>
        <v>4986</v>
      </c>
    </row>
    <row r="52" spans="1:5" ht="29.1" customHeight="1">
      <c r="A52" s="113" t="s">
        <v>203</v>
      </c>
      <c r="B52" s="114">
        <v>1.5166666666666666</v>
      </c>
      <c r="C52" s="114">
        <v>1</v>
      </c>
      <c r="D52" s="92">
        <f t="shared" si="7"/>
        <v>1.5166666666666666</v>
      </c>
      <c r="E52" s="92">
        <f t="shared" ca="1" si="8"/>
        <v>19944</v>
      </c>
    </row>
    <row r="53" spans="1:5" ht="29.1" customHeight="1">
      <c r="A53" s="113" t="s">
        <v>204</v>
      </c>
      <c r="B53" s="114">
        <v>0.36666666666666803</v>
      </c>
      <c r="C53" s="114">
        <v>1</v>
      </c>
      <c r="D53" s="92">
        <f t="shared" si="7"/>
        <v>0.36666666666666803</v>
      </c>
      <c r="E53" s="92">
        <f t="shared" ca="1" si="8"/>
        <v>19944</v>
      </c>
    </row>
    <row r="54" spans="1:5" ht="29.1" customHeight="1">
      <c r="A54" s="113" t="s">
        <v>205</v>
      </c>
      <c r="B54" s="114">
        <v>7.0833333333333339</v>
      </c>
      <c r="C54" s="114">
        <v>3</v>
      </c>
      <c r="D54" s="92">
        <f t="shared" si="7"/>
        <v>2.3611111111111112</v>
      </c>
      <c r="E54" s="92">
        <f t="shared" ca="1" si="8"/>
        <v>6648</v>
      </c>
    </row>
    <row r="55" spans="1:5" ht="29.1" customHeight="1">
      <c r="A55" s="113" t="s">
        <v>206</v>
      </c>
      <c r="B55" s="114">
        <v>13.066666666666663</v>
      </c>
      <c r="C55" s="114">
        <v>19</v>
      </c>
      <c r="D55" s="92">
        <f t="shared" si="7"/>
        <v>0.68771929824561384</v>
      </c>
      <c r="E55" s="92">
        <f t="shared" ca="1" si="8"/>
        <v>1049.6842105263158</v>
      </c>
    </row>
    <row r="56" spans="1:5" ht="29.1" customHeight="1">
      <c r="A56" s="113" t="s">
        <v>207</v>
      </c>
      <c r="B56" s="114">
        <v>2.35</v>
      </c>
      <c r="C56" s="114">
        <v>2</v>
      </c>
      <c r="D56" s="92">
        <f t="shared" si="7"/>
        <v>1.175</v>
      </c>
      <c r="E56" s="92">
        <f t="shared" ca="1" si="8"/>
        <v>9972</v>
      </c>
    </row>
    <row r="57" spans="1:5" ht="29.1" customHeight="1">
      <c r="A57" s="113" t="s">
        <v>208</v>
      </c>
      <c r="B57" s="114">
        <v>50.683333333333337</v>
      </c>
      <c r="C57" s="114">
        <v>11</v>
      </c>
      <c r="D57" s="92">
        <f t="shared" si="7"/>
        <v>4.6075757575757583</v>
      </c>
      <c r="E57" s="92">
        <f t="shared" ca="1" si="8"/>
        <v>1813.090909090909</v>
      </c>
    </row>
    <row r="58" spans="1:5" ht="29.1" customHeight="1">
      <c r="A58" s="113" t="s">
        <v>209</v>
      </c>
      <c r="B58" s="114">
        <v>6.6666666666666679</v>
      </c>
      <c r="C58" s="114">
        <v>2</v>
      </c>
      <c r="D58" s="92">
        <f t="shared" si="7"/>
        <v>3.3333333333333339</v>
      </c>
      <c r="E58" s="92">
        <f t="shared" ca="1" si="8"/>
        <v>9972</v>
      </c>
    </row>
    <row r="59" spans="1:5" ht="29.1" customHeight="1">
      <c r="A59" s="113" t="s">
        <v>210</v>
      </c>
      <c r="B59" s="114">
        <v>7.9999999999999947</v>
      </c>
      <c r="C59" s="114">
        <v>7</v>
      </c>
      <c r="D59" s="92">
        <f t="shared" si="7"/>
        <v>1.1428571428571421</v>
      </c>
      <c r="E59" s="92">
        <f t="shared" ca="1" si="8"/>
        <v>2849.1428571428573</v>
      </c>
    </row>
    <row r="60" spans="1:5" ht="29.1" customHeight="1">
      <c r="A60" s="113" t="s">
        <v>211</v>
      </c>
      <c r="B60" s="114">
        <v>7.0833333333333313</v>
      </c>
      <c r="C60" s="114">
        <v>8</v>
      </c>
      <c r="D60" s="92">
        <f t="shared" si="7"/>
        <v>0.88541666666666641</v>
      </c>
      <c r="E60" s="92">
        <f t="shared" ca="1" si="8"/>
        <v>2493</v>
      </c>
    </row>
    <row r="61" spans="1:5" ht="29.1" customHeight="1">
      <c r="A61" s="113" t="s">
        <v>212</v>
      </c>
      <c r="B61" s="114">
        <v>45.050000000000004</v>
      </c>
      <c r="C61" s="114">
        <v>18</v>
      </c>
      <c r="D61" s="92">
        <f t="shared" si="7"/>
        <v>2.5027777777777782</v>
      </c>
      <c r="E61" s="92">
        <f t="shared" ca="1" si="8"/>
        <v>1108</v>
      </c>
    </row>
    <row r="62" spans="1:5" ht="29.1" customHeight="1">
      <c r="A62" s="113" t="s">
        <v>213</v>
      </c>
      <c r="B62" s="114">
        <v>168.99999999999997</v>
      </c>
      <c r="C62" s="114">
        <v>71</v>
      </c>
      <c r="D62" s="92">
        <f t="shared" si="7"/>
        <v>2.3802816901408446</v>
      </c>
      <c r="E62" s="92">
        <f t="shared" ca="1" si="8"/>
        <v>280.90140845070425</v>
      </c>
    </row>
    <row r="63" spans="1:5" ht="29.1" customHeight="1">
      <c r="A63" s="113" t="s">
        <v>214</v>
      </c>
      <c r="B63" s="94">
        <v>3.6333333333333337</v>
      </c>
      <c r="C63" s="94">
        <v>2</v>
      </c>
      <c r="D63" s="92">
        <f t="shared" si="7"/>
        <v>1.8166666666666669</v>
      </c>
      <c r="E63" s="92">
        <f t="shared" ca="1" si="8"/>
        <v>9972</v>
      </c>
    </row>
    <row r="64" spans="1:5" ht="29.1" customHeight="1">
      <c r="A64" s="113" t="s">
        <v>215</v>
      </c>
      <c r="B64" s="114">
        <v>107.58333333333334</v>
      </c>
      <c r="C64" s="114">
        <v>18</v>
      </c>
      <c r="D64" s="92">
        <f t="shared" si="7"/>
        <v>5.9768518518518521</v>
      </c>
      <c r="E64" s="92">
        <f t="shared" ca="1" si="8"/>
        <v>1108</v>
      </c>
    </row>
    <row r="65" spans="1:5" ht="29.1" customHeight="1">
      <c r="A65" s="113" t="s">
        <v>216</v>
      </c>
      <c r="B65" s="114">
        <v>3.8833333333333302</v>
      </c>
      <c r="C65" s="114">
        <v>2</v>
      </c>
      <c r="D65" s="92">
        <f t="shared" si="7"/>
        <v>1.9416666666666651</v>
      </c>
      <c r="E65" s="92">
        <f t="shared" ca="1" si="8"/>
        <v>9972</v>
      </c>
    </row>
    <row r="66" spans="1:5" ht="29.1" customHeight="1">
      <c r="A66" s="113" t="s">
        <v>217</v>
      </c>
      <c r="B66" s="114">
        <v>0.46666666666666501</v>
      </c>
      <c r="C66" s="114">
        <v>1</v>
      </c>
      <c r="D66" s="92">
        <f t="shared" si="7"/>
        <v>0.46666666666666501</v>
      </c>
      <c r="E66" s="92">
        <f t="shared" ca="1" si="8"/>
        <v>19944</v>
      </c>
    </row>
    <row r="67" spans="1:5" ht="29.1" customHeight="1">
      <c r="A67" s="113" t="s">
        <v>218</v>
      </c>
      <c r="B67" s="114">
        <v>21.883333333333333</v>
      </c>
      <c r="C67" s="114">
        <v>11</v>
      </c>
      <c r="D67" s="92">
        <f t="shared" si="7"/>
        <v>1.9893939393939393</v>
      </c>
      <c r="E67" s="92">
        <f t="shared" ca="1" si="8"/>
        <v>1813.090909090909</v>
      </c>
    </row>
    <row r="68" spans="1:5" ht="29.1" customHeight="1">
      <c r="A68" s="113" t="s">
        <v>219</v>
      </c>
      <c r="B68" s="114">
        <v>3.5499999999999994</v>
      </c>
      <c r="C68" s="114">
        <v>3</v>
      </c>
      <c r="D68" s="92">
        <f t="shared" si="7"/>
        <v>1.1833333333333331</v>
      </c>
      <c r="E68" s="92">
        <f t="shared" ca="1" si="8"/>
        <v>6648</v>
      </c>
    </row>
    <row r="69" spans="1:5" ht="29.1" customHeight="1">
      <c r="A69" s="113" t="s">
        <v>220</v>
      </c>
      <c r="B69" s="114">
        <v>10.433333333333334</v>
      </c>
      <c r="C69" s="114">
        <v>5</v>
      </c>
      <c r="D69" s="92">
        <f t="shared" si="7"/>
        <v>2.0866666666666669</v>
      </c>
      <c r="E69" s="92">
        <f t="shared" ca="1" si="8"/>
        <v>3988.8</v>
      </c>
    </row>
    <row r="70" spans="1:5" ht="29.1" customHeight="1">
      <c r="A70" s="113" t="s">
        <v>221</v>
      </c>
      <c r="B70" s="114">
        <v>120.08333333333333</v>
      </c>
      <c r="C70" s="114">
        <v>23</v>
      </c>
      <c r="D70" s="92">
        <f t="shared" si="7"/>
        <v>5.2210144927536231</v>
      </c>
      <c r="E70" s="92">
        <f t="shared" ca="1" si="8"/>
        <v>867.13043478260875</v>
      </c>
    </row>
    <row r="71" spans="1:5" ht="29.1" customHeight="1">
      <c r="A71" s="113" t="s">
        <v>222</v>
      </c>
      <c r="B71" s="114">
        <v>48.433333333333337</v>
      </c>
      <c r="C71" s="114">
        <v>12</v>
      </c>
      <c r="D71" s="92">
        <f t="shared" si="7"/>
        <v>4.0361111111111114</v>
      </c>
      <c r="E71" s="92">
        <f t="shared" ca="1" si="8"/>
        <v>1662</v>
      </c>
    </row>
    <row r="72" spans="1:5" ht="29.1" customHeight="1">
      <c r="A72" s="113" t="s">
        <v>223</v>
      </c>
      <c r="B72" s="114">
        <v>40.04999999999999</v>
      </c>
      <c r="C72" s="114">
        <v>13</v>
      </c>
      <c r="D72" s="92">
        <f t="shared" si="7"/>
        <v>3.08076923076923</v>
      </c>
      <c r="E72" s="92">
        <f t="shared" ca="1" si="8"/>
        <v>1534.1538461538462</v>
      </c>
    </row>
    <row r="73" spans="1:5" ht="29.1" customHeight="1">
      <c r="A73" s="113" t="s">
        <v>224</v>
      </c>
      <c r="B73" s="114">
        <v>917.15000000000055</v>
      </c>
      <c r="C73" s="114">
        <v>200</v>
      </c>
      <c r="D73" s="92">
        <f t="shared" si="7"/>
        <v>4.5857500000000027</v>
      </c>
      <c r="E73" s="92">
        <f t="shared" ca="1" si="8"/>
        <v>99.72</v>
      </c>
    </row>
    <row r="74" spans="1:5" ht="29.1" customHeight="1">
      <c r="A74" s="113" t="s">
        <v>225</v>
      </c>
      <c r="B74" s="114">
        <v>147.41666666666669</v>
      </c>
      <c r="C74" s="114">
        <v>7</v>
      </c>
      <c r="D74" s="92">
        <f t="shared" si="7"/>
        <v>21.059523809523814</v>
      </c>
      <c r="E74" s="92">
        <f t="shared" ca="1" si="8"/>
        <v>2849.1428571428573</v>
      </c>
    </row>
    <row r="75" spans="1:5" ht="29.1" customHeight="1">
      <c r="A75" s="113" t="s">
        <v>226</v>
      </c>
      <c r="B75" s="114">
        <v>35.799999999999997</v>
      </c>
      <c r="C75" s="114">
        <v>10</v>
      </c>
      <c r="D75" s="92">
        <f t="shared" si="7"/>
        <v>3.5799999999999996</v>
      </c>
      <c r="E75" s="92">
        <f t="shared" ca="1" si="8"/>
        <v>1994.4</v>
      </c>
    </row>
    <row r="76" spans="1:5" ht="29.1" customHeight="1">
      <c r="A76" s="113" t="s">
        <v>227</v>
      </c>
      <c r="B76" s="114">
        <v>152.71666666666673</v>
      </c>
      <c r="C76" s="114">
        <v>47</v>
      </c>
      <c r="D76" s="92">
        <f t="shared" si="7"/>
        <v>3.2492907801418451</v>
      </c>
      <c r="E76" s="92">
        <f t="shared" ca="1" si="8"/>
        <v>424.34042553191489</v>
      </c>
    </row>
    <row r="77" spans="1:5" ht="29.1" customHeight="1">
      <c r="A77" s="113" t="s">
        <v>228</v>
      </c>
      <c r="B77" s="114">
        <v>15.916666666666663</v>
      </c>
      <c r="C77" s="114">
        <v>4</v>
      </c>
      <c r="D77" s="92">
        <f t="shared" si="7"/>
        <v>3.9791666666666656</v>
      </c>
      <c r="E77" s="92">
        <f t="shared" ca="1" si="8"/>
        <v>4986</v>
      </c>
    </row>
    <row r="78" spans="1:5" ht="29.1" customHeight="1">
      <c r="A78" s="113" t="s">
        <v>229</v>
      </c>
      <c r="B78" s="114">
        <v>74.63333333333334</v>
      </c>
      <c r="C78" s="114">
        <v>34</v>
      </c>
      <c r="D78" s="92">
        <f t="shared" si="7"/>
        <v>2.1950980392156865</v>
      </c>
      <c r="E78" s="92">
        <f t="shared" ca="1" si="8"/>
        <v>586.58823529411768</v>
      </c>
    </row>
    <row r="79" spans="1:5" ht="29.1" customHeight="1">
      <c r="A79" s="113" t="s">
        <v>230</v>
      </c>
      <c r="B79" s="114">
        <v>241.31611111111107</v>
      </c>
      <c r="C79" s="114">
        <v>69</v>
      </c>
      <c r="D79" s="92">
        <f t="shared" si="7"/>
        <v>3.4973349436392906</v>
      </c>
      <c r="E79" s="92">
        <f t="shared" ca="1" si="8"/>
        <v>289.04347826086956</v>
      </c>
    </row>
    <row r="80" spans="1:5" ht="29.1" customHeight="1">
      <c r="A80" s="113" t="s">
        <v>231</v>
      </c>
      <c r="B80" s="114">
        <v>12.233333333333338</v>
      </c>
      <c r="C80" s="114">
        <v>4</v>
      </c>
      <c r="D80" s="92">
        <f t="shared" si="7"/>
        <v>3.0583333333333345</v>
      </c>
      <c r="E80" s="92">
        <f t="shared" ca="1" si="8"/>
        <v>4986</v>
      </c>
    </row>
    <row r="81" spans="1:5" ht="29.1" customHeight="1">
      <c r="A81" s="113" t="s">
        <v>232</v>
      </c>
      <c r="B81" s="114">
        <v>25.333333333333329</v>
      </c>
      <c r="C81" s="114">
        <v>6</v>
      </c>
      <c r="D81" s="92">
        <f t="shared" si="7"/>
        <v>4.2222222222222214</v>
      </c>
      <c r="E81" s="92">
        <f t="shared" ca="1" si="8"/>
        <v>3324</v>
      </c>
    </row>
    <row r="82" spans="1:5" ht="29.1" customHeight="1">
      <c r="A82" s="113" t="s">
        <v>233</v>
      </c>
      <c r="B82" s="114">
        <v>20.683333333333341</v>
      </c>
      <c r="C82" s="114">
        <v>5</v>
      </c>
      <c r="D82" s="92">
        <f t="shared" si="7"/>
        <v>4.1366666666666685</v>
      </c>
      <c r="E82" s="92">
        <f t="shared" ca="1" si="8"/>
        <v>3988.8</v>
      </c>
    </row>
    <row r="83" spans="1:5" ht="29.1" customHeight="1">
      <c r="A83" s="113" t="s">
        <v>234</v>
      </c>
      <c r="B83" s="114">
        <v>4.9833333333333325</v>
      </c>
      <c r="C83" s="114">
        <v>1</v>
      </c>
      <c r="D83" s="92">
        <f t="shared" si="7"/>
        <v>4.9833333333333325</v>
      </c>
      <c r="E83" s="92">
        <f t="shared" ca="1" si="8"/>
        <v>19944</v>
      </c>
    </row>
    <row r="84" spans="1:5" ht="29.1" customHeight="1">
      <c r="A84" s="113" t="s">
        <v>235</v>
      </c>
      <c r="B84" s="114">
        <v>3.5166666666666693</v>
      </c>
      <c r="C84" s="114">
        <v>3</v>
      </c>
      <c r="D84" s="92">
        <f t="shared" si="7"/>
        <v>1.1722222222222232</v>
      </c>
      <c r="E84" s="92">
        <f t="shared" ca="1" si="8"/>
        <v>6648</v>
      </c>
    </row>
    <row r="85" spans="1:5" ht="29.1" customHeight="1">
      <c r="A85" s="113" t="s">
        <v>236</v>
      </c>
      <c r="B85" s="114">
        <v>287.5333333333333</v>
      </c>
      <c r="C85" s="114">
        <v>50</v>
      </c>
      <c r="D85" s="92">
        <f t="shared" si="7"/>
        <v>5.7506666666666657</v>
      </c>
      <c r="E85" s="92">
        <f t="shared" ca="1" si="8"/>
        <v>398.88</v>
      </c>
    </row>
    <row r="86" spans="1:5" ht="29.1" customHeight="1">
      <c r="A86" s="113" t="s">
        <v>237</v>
      </c>
      <c r="B86" s="114">
        <v>29.383333333333336</v>
      </c>
      <c r="C86" s="114">
        <v>12</v>
      </c>
      <c r="D86" s="92">
        <f t="shared" si="7"/>
        <v>2.4486111111111115</v>
      </c>
      <c r="E86" s="92">
        <f t="shared" ca="1" si="8"/>
        <v>1662</v>
      </c>
    </row>
    <row r="87" spans="1:5" ht="29.1" customHeight="1">
      <c r="A87" s="113" t="s">
        <v>238</v>
      </c>
      <c r="B87" s="114">
        <v>420.54999999999995</v>
      </c>
      <c r="C87" s="114">
        <v>64</v>
      </c>
      <c r="D87" s="92">
        <f t="shared" si="7"/>
        <v>6.5710937499999993</v>
      </c>
      <c r="E87" s="92">
        <f t="shared" ca="1" si="8"/>
        <v>311.625</v>
      </c>
    </row>
    <row r="88" spans="1:5" ht="29.1" customHeight="1">
      <c r="A88" s="113" t="s">
        <v>239</v>
      </c>
      <c r="B88" s="114">
        <v>24.283333333333335</v>
      </c>
      <c r="C88" s="114">
        <v>8</v>
      </c>
      <c r="D88" s="92">
        <f t="shared" si="7"/>
        <v>3.0354166666666669</v>
      </c>
      <c r="E88" s="92">
        <f t="shared" ca="1" si="8"/>
        <v>2493</v>
      </c>
    </row>
    <row r="89" spans="1:5" ht="29.1" customHeight="1">
      <c r="A89" s="113" t="s">
        <v>240</v>
      </c>
      <c r="B89" s="114">
        <v>9.1499999999999986</v>
      </c>
      <c r="C89" s="114">
        <v>3</v>
      </c>
      <c r="D89" s="92">
        <f t="shared" si="7"/>
        <v>3.0499999999999994</v>
      </c>
      <c r="E89" s="92">
        <f t="shared" ca="1" si="8"/>
        <v>6648</v>
      </c>
    </row>
    <row r="90" spans="1:5" ht="29.1" customHeight="1">
      <c r="A90" s="113" t="s">
        <v>241</v>
      </c>
      <c r="B90" s="114">
        <v>3.5999999999999979</v>
      </c>
      <c r="C90" s="114">
        <v>1</v>
      </c>
      <c r="D90" s="92">
        <f t="shared" si="7"/>
        <v>3.5999999999999979</v>
      </c>
      <c r="E90" s="92">
        <f t="shared" ca="1" si="8"/>
        <v>19944</v>
      </c>
    </row>
    <row r="91" spans="1:5" ht="29.1" customHeight="1">
      <c r="A91" s="113" t="s">
        <v>242</v>
      </c>
      <c r="B91" s="114">
        <v>7.2333333333333325</v>
      </c>
      <c r="C91" s="114">
        <v>4</v>
      </c>
      <c r="D91" s="92">
        <f t="shared" si="7"/>
        <v>1.8083333333333331</v>
      </c>
      <c r="E91" s="92">
        <f t="shared" ca="1" si="8"/>
        <v>4986</v>
      </c>
    </row>
    <row r="92" spans="1:5" ht="29.1" customHeight="1">
      <c r="A92" s="113" t="s">
        <v>243</v>
      </c>
      <c r="B92" s="114">
        <v>92.783333333333346</v>
      </c>
      <c r="C92" s="114">
        <v>15</v>
      </c>
      <c r="D92" s="92">
        <f t="shared" si="7"/>
        <v>6.1855555555555561</v>
      </c>
      <c r="E92" s="92">
        <f t="shared" ca="1" si="8"/>
        <v>1329.6</v>
      </c>
    </row>
    <row r="93" spans="1:5" ht="29.1" customHeight="1">
      <c r="A93" s="113" t="s">
        <v>244</v>
      </c>
      <c r="B93" s="114">
        <v>4.2333333333333343</v>
      </c>
      <c r="C93" s="114">
        <v>3</v>
      </c>
      <c r="D93" s="92">
        <f t="shared" si="7"/>
        <v>1.4111111111111114</v>
      </c>
      <c r="E93" s="92">
        <f t="shared" ca="1" si="8"/>
        <v>6648</v>
      </c>
    </row>
    <row r="94" spans="1:5" ht="29.1" customHeight="1">
      <c r="A94" s="113" t="s">
        <v>245</v>
      </c>
      <c r="B94" s="114">
        <v>2.6833333333333327</v>
      </c>
      <c r="C94" s="114">
        <v>4</v>
      </c>
      <c r="D94" s="92">
        <f t="shared" si="7"/>
        <v>0.67083333333333317</v>
      </c>
      <c r="E94" s="92">
        <f t="shared" ca="1" si="8"/>
        <v>4986</v>
      </c>
    </row>
    <row r="95" spans="1:5" ht="29.1" customHeight="1">
      <c r="A95" s="113" t="s">
        <v>246</v>
      </c>
      <c r="B95" s="114">
        <v>8.5333333333333314</v>
      </c>
      <c r="C95" s="114">
        <v>10</v>
      </c>
      <c r="D95" s="92">
        <f t="shared" ref="D95:D108" si="9">B95/C95</f>
        <v>0.85333333333333317</v>
      </c>
      <c r="E95" s="92">
        <f t="shared" ref="E95:E108" ca="1" si="10">$D$26/C95</f>
        <v>1994.4</v>
      </c>
    </row>
    <row r="96" spans="1:5" ht="29.1" customHeight="1">
      <c r="A96" s="113" t="s">
        <v>247</v>
      </c>
      <c r="B96" s="114">
        <v>5.6666666666666679</v>
      </c>
      <c r="C96" s="114">
        <v>1</v>
      </c>
      <c r="D96" s="92">
        <f t="shared" si="9"/>
        <v>5.6666666666666679</v>
      </c>
      <c r="E96" s="92">
        <f t="shared" ca="1" si="10"/>
        <v>19944</v>
      </c>
    </row>
    <row r="97" spans="1:5" ht="29.1" customHeight="1">
      <c r="A97" s="113" t="s">
        <v>248</v>
      </c>
      <c r="B97" s="114">
        <v>33.916666666666671</v>
      </c>
      <c r="C97" s="114">
        <v>11</v>
      </c>
      <c r="D97" s="92">
        <f t="shared" si="9"/>
        <v>3.0833333333333339</v>
      </c>
      <c r="E97" s="92">
        <f t="shared" ca="1" si="10"/>
        <v>1813.090909090909</v>
      </c>
    </row>
    <row r="98" spans="1:5" ht="29.1" customHeight="1">
      <c r="A98" s="113" t="s">
        <v>249</v>
      </c>
      <c r="B98" s="114">
        <v>22.583333333333336</v>
      </c>
      <c r="C98" s="114">
        <v>4</v>
      </c>
      <c r="D98" s="92">
        <f t="shared" si="9"/>
        <v>5.6458333333333339</v>
      </c>
      <c r="E98" s="92">
        <f t="shared" ca="1" si="10"/>
        <v>4986</v>
      </c>
    </row>
    <row r="99" spans="1:5" ht="29.1" customHeight="1">
      <c r="A99" s="113" t="s">
        <v>250</v>
      </c>
      <c r="B99" s="114">
        <v>6.6499999999999995</v>
      </c>
      <c r="C99" s="114">
        <v>5</v>
      </c>
      <c r="D99" s="92">
        <f t="shared" si="9"/>
        <v>1.3299999999999998</v>
      </c>
      <c r="E99" s="92">
        <f t="shared" ca="1" si="10"/>
        <v>3988.8</v>
      </c>
    </row>
    <row r="100" spans="1:5" ht="29.1" customHeight="1">
      <c r="A100" s="113" t="s">
        <v>251</v>
      </c>
      <c r="B100" s="114">
        <v>3.1666666666666661</v>
      </c>
      <c r="C100" s="114">
        <v>1</v>
      </c>
      <c r="D100" s="92">
        <f t="shared" si="9"/>
        <v>3.1666666666666661</v>
      </c>
      <c r="E100" s="92">
        <f t="shared" ca="1" si="10"/>
        <v>19944</v>
      </c>
    </row>
    <row r="101" spans="1:5" ht="29.1" customHeight="1">
      <c r="A101" s="113" t="s">
        <v>252</v>
      </c>
      <c r="B101" s="114">
        <v>12.033333333333333</v>
      </c>
      <c r="C101" s="114">
        <v>4</v>
      </c>
      <c r="D101" s="92">
        <f t="shared" si="9"/>
        <v>3.0083333333333333</v>
      </c>
      <c r="E101" s="92">
        <f t="shared" ca="1" si="10"/>
        <v>4986</v>
      </c>
    </row>
    <row r="102" spans="1:5" ht="29.1" customHeight="1">
      <c r="A102" s="113" t="s">
        <v>253</v>
      </c>
      <c r="B102" s="114">
        <v>74.649999999999991</v>
      </c>
      <c r="C102" s="114">
        <v>24</v>
      </c>
      <c r="D102" s="92">
        <f t="shared" si="9"/>
        <v>3.1104166666666662</v>
      </c>
      <c r="E102" s="92">
        <f t="shared" ca="1" si="10"/>
        <v>831</v>
      </c>
    </row>
    <row r="103" spans="1:5" ht="29.1" customHeight="1">
      <c r="A103" s="113" t="s">
        <v>254</v>
      </c>
      <c r="B103" s="114">
        <v>11.083333333333332</v>
      </c>
      <c r="C103" s="114">
        <v>5</v>
      </c>
      <c r="D103" s="92">
        <f t="shared" si="9"/>
        <v>2.2166666666666663</v>
      </c>
      <c r="E103" s="92">
        <f t="shared" ca="1" si="10"/>
        <v>3988.8</v>
      </c>
    </row>
    <row r="104" spans="1:5" ht="29.1" customHeight="1">
      <c r="A104" s="113" t="s">
        <v>255</v>
      </c>
      <c r="B104" s="114">
        <v>79.483333333333348</v>
      </c>
      <c r="C104" s="114">
        <v>40</v>
      </c>
      <c r="D104" s="92">
        <f t="shared" si="9"/>
        <v>1.9870833333333338</v>
      </c>
      <c r="E104" s="92">
        <f t="shared" ca="1" si="10"/>
        <v>498.6</v>
      </c>
    </row>
    <row r="105" spans="1:5" ht="29.1" customHeight="1">
      <c r="A105" s="113" t="s">
        <v>256</v>
      </c>
      <c r="B105" s="114">
        <v>9.8333333333333357</v>
      </c>
      <c r="C105" s="114">
        <v>3</v>
      </c>
      <c r="D105" s="92">
        <f t="shared" si="9"/>
        <v>3.2777777777777786</v>
      </c>
      <c r="E105" s="92">
        <f t="shared" ca="1" si="10"/>
        <v>6648</v>
      </c>
    </row>
    <row r="106" spans="1:5" ht="29.1" customHeight="1">
      <c r="A106" s="113" t="s">
        <v>257</v>
      </c>
      <c r="B106" s="114">
        <v>9.2166666666666668</v>
      </c>
      <c r="C106" s="114">
        <v>2</v>
      </c>
      <c r="D106" s="92">
        <f t="shared" si="9"/>
        <v>4.6083333333333334</v>
      </c>
      <c r="E106" s="92">
        <f t="shared" ca="1" si="10"/>
        <v>9972</v>
      </c>
    </row>
    <row r="107" spans="1:5" ht="29.1" customHeight="1">
      <c r="A107" s="113" t="s">
        <v>258</v>
      </c>
      <c r="B107" s="94">
        <v>0</v>
      </c>
      <c r="C107" s="94"/>
      <c r="D107" s="92" t="e">
        <f t="shared" si="9"/>
        <v>#DIV/0!</v>
      </c>
      <c r="E107" s="92" t="e">
        <f t="shared" ca="1" si="10"/>
        <v>#DIV/0!</v>
      </c>
    </row>
    <row r="108" spans="1:5" ht="29.1" customHeight="1">
      <c r="A108" s="113" t="s">
        <v>259</v>
      </c>
      <c r="B108" s="94">
        <v>4.9000000000000012</v>
      </c>
      <c r="C108" s="94">
        <v>1</v>
      </c>
      <c r="D108" s="92">
        <f t="shared" si="9"/>
        <v>4.9000000000000012</v>
      </c>
      <c r="E108" s="92">
        <f t="shared" ca="1" si="10"/>
        <v>19944</v>
      </c>
    </row>
    <row r="109" spans="1:5" ht="29.1" customHeight="1">
      <c r="A109" s="113" t="s">
        <v>260</v>
      </c>
      <c r="B109" s="94">
        <v>1.5833333333333357</v>
      </c>
      <c r="C109" s="94">
        <v>1</v>
      </c>
    </row>
    <row r="110" spans="1:5" ht="29.1" customHeight="1">
      <c r="A110" s="113" t="s">
        <v>261</v>
      </c>
      <c r="B110" s="94">
        <v>9.1666666666666679</v>
      </c>
      <c r="C110" s="94">
        <v>3</v>
      </c>
    </row>
    <row r="111" spans="1:5" ht="29.1" customHeight="1">
      <c r="A111" s="113" t="s">
        <v>262</v>
      </c>
      <c r="B111" s="94">
        <v>46.416666666666664</v>
      </c>
      <c r="C111" s="94">
        <v>15</v>
      </c>
    </row>
    <row r="112" spans="1:5" ht="29.1" customHeight="1">
      <c r="A112" s="113" t="s">
        <v>263</v>
      </c>
      <c r="B112" s="94">
        <v>69.316666666666649</v>
      </c>
      <c r="C112" s="94">
        <v>12</v>
      </c>
    </row>
    <row r="113" spans="1:3" ht="29.1" customHeight="1">
      <c r="A113" s="113" t="s">
        <v>264</v>
      </c>
      <c r="B113" s="94">
        <v>12.083333333333332</v>
      </c>
      <c r="C113" s="94">
        <v>1</v>
      </c>
    </row>
    <row r="114" spans="1:3" ht="29.1" customHeight="1">
      <c r="A114" s="113" t="s">
        <v>265</v>
      </c>
      <c r="B114" s="94">
        <v>7.5166666666666666</v>
      </c>
      <c r="C114" s="94">
        <v>1</v>
      </c>
    </row>
    <row r="115" spans="1:3" ht="29.1" customHeight="1">
      <c r="A115" s="113" t="s">
        <v>266</v>
      </c>
      <c r="B115" s="94">
        <v>8.0499999999999972</v>
      </c>
      <c r="C115" s="94">
        <v>1</v>
      </c>
    </row>
    <row r="116" spans="1:3" ht="29.1" customHeight="1">
      <c r="A116" s="113" t="s">
        <v>267</v>
      </c>
      <c r="B116" s="94">
        <v>20.916666666666664</v>
      </c>
      <c r="C116" s="94">
        <v>3</v>
      </c>
    </row>
    <row r="117" spans="1:3" ht="29.1" customHeight="1">
      <c r="A117" s="113" t="s">
        <v>268</v>
      </c>
      <c r="B117" s="94">
        <v>97.38333333333334</v>
      </c>
      <c r="C117" s="94">
        <v>27</v>
      </c>
    </row>
    <row r="118" spans="1:3" ht="29.1" customHeight="1">
      <c r="A118" s="113" t="s">
        <v>269</v>
      </c>
      <c r="B118" s="94">
        <v>751.81666666666695</v>
      </c>
      <c r="C118" s="94">
        <v>49</v>
      </c>
    </row>
    <row r="119" spans="1:3" ht="29.1" customHeight="1">
      <c r="A119" s="113" t="s">
        <v>270</v>
      </c>
      <c r="B119" s="94">
        <v>6.5</v>
      </c>
      <c r="C119" s="94">
        <v>2</v>
      </c>
    </row>
    <row r="120" spans="1:3" ht="29.1" customHeight="1">
      <c r="A120" s="113" t="s">
        <v>271</v>
      </c>
      <c r="B120" s="94">
        <v>141.13333333333341</v>
      </c>
      <c r="C120" s="94">
        <v>74</v>
      </c>
    </row>
    <row r="121" spans="1:3" ht="29.1" customHeight="1">
      <c r="A121" s="113" t="s">
        <v>272</v>
      </c>
      <c r="B121" s="94">
        <v>1141.2666666666657</v>
      </c>
      <c r="C121" s="94">
        <v>151</v>
      </c>
    </row>
    <row r="122" spans="1:3" ht="29.1" customHeight="1">
      <c r="A122" s="113" t="s">
        <v>273</v>
      </c>
      <c r="B122" s="94">
        <v>626.25000000000034</v>
      </c>
      <c r="C122" s="94">
        <v>174</v>
      </c>
    </row>
    <row r="123" spans="1:3" ht="29.1" customHeight="1">
      <c r="A123" s="113" t="s">
        <v>274</v>
      </c>
      <c r="B123" s="94">
        <v>27.383055555555551</v>
      </c>
      <c r="C123" s="94">
        <v>8</v>
      </c>
    </row>
    <row r="124" spans="1:3" ht="29.1" customHeight="1">
      <c r="A124" s="113" t="s">
        <v>275</v>
      </c>
      <c r="B124" s="94">
        <v>19.45</v>
      </c>
      <c r="C124" s="94">
        <v>2</v>
      </c>
    </row>
    <row r="125" spans="1:3" ht="29.1" customHeight="1">
      <c r="A125" s="113" t="s">
        <v>276</v>
      </c>
      <c r="B125" s="94">
        <v>37.866666666666667</v>
      </c>
      <c r="C125" s="94">
        <v>19</v>
      </c>
    </row>
    <row r="126" spans="1:3" ht="29.1" customHeight="1">
      <c r="A126" s="113" t="s">
        <v>277</v>
      </c>
      <c r="B126" s="94">
        <v>7.5499999999999989</v>
      </c>
      <c r="C126" s="94">
        <v>4</v>
      </c>
    </row>
    <row r="127" spans="1:3" ht="29.1" customHeight="1">
      <c r="A127" s="113" t="s">
        <v>278</v>
      </c>
      <c r="B127" s="94">
        <v>0.61666666666666714</v>
      </c>
      <c r="C127" s="94">
        <v>1</v>
      </c>
    </row>
    <row r="128" spans="1:3" ht="29.1" customHeight="1">
      <c r="A128" s="113" t="s">
        <v>279</v>
      </c>
      <c r="B128" s="94">
        <v>6.6666666666666679</v>
      </c>
      <c r="C128" s="94">
        <v>1</v>
      </c>
    </row>
    <row r="129" spans="1:3" ht="29.1" customHeight="1">
      <c r="A129" s="113" t="s">
        <v>280</v>
      </c>
      <c r="B129" s="94">
        <v>28.116666666666667</v>
      </c>
      <c r="C129" s="94">
        <v>8</v>
      </c>
    </row>
    <row r="130" spans="1:3" ht="29.1" customHeight="1">
      <c r="A130" s="113" t="s">
        <v>281</v>
      </c>
      <c r="B130" s="94">
        <v>8.716666666666665</v>
      </c>
      <c r="C130" s="94">
        <v>5</v>
      </c>
    </row>
    <row r="131" spans="1:3" ht="29.1" customHeight="1">
      <c r="A131" s="113" t="s">
        <v>282</v>
      </c>
      <c r="B131" s="94">
        <v>1528.4150000000009</v>
      </c>
      <c r="C131" s="94">
        <v>65</v>
      </c>
    </row>
    <row r="132" spans="1:3" ht="29.1" customHeight="1">
      <c r="A132" s="113" t="s">
        <v>283</v>
      </c>
      <c r="B132" s="94">
        <v>3511.6666666666551</v>
      </c>
      <c r="C132" s="94">
        <v>148</v>
      </c>
    </row>
    <row r="133" spans="1:3" ht="29.1" customHeight="1">
      <c r="A133" s="113" t="s">
        <v>284</v>
      </c>
      <c r="B133" s="94">
        <v>61.566666666666663</v>
      </c>
      <c r="C133" s="94">
        <v>6</v>
      </c>
    </row>
    <row r="134" spans="1:3" ht="29.1" customHeight="1">
      <c r="A134" s="113" t="s">
        <v>285</v>
      </c>
      <c r="B134" s="94">
        <v>86.966666666666669</v>
      </c>
      <c r="C134" s="94">
        <v>5</v>
      </c>
    </row>
    <row r="135" spans="1:3" ht="29.1" customHeight="1">
      <c r="A135" s="113" t="s">
        <v>286</v>
      </c>
      <c r="B135" s="94">
        <v>3.3166666666666695</v>
      </c>
      <c r="C135" s="94">
        <v>13</v>
      </c>
    </row>
    <row r="136" spans="1:3" ht="29.1" customHeight="1">
      <c r="A136" s="113" t="s">
        <v>287</v>
      </c>
      <c r="B136" s="94">
        <v>2.4000000000000021</v>
      </c>
      <c r="C136" s="94">
        <v>1</v>
      </c>
    </row>
    <row r="137" spans="1:3" ht="29.1" customHeight="1">
      <c r="A137" s="113" t="s">
        <v>288</v>
      </c>
      <c r="B137" s="94">
        <v>16.766666666666662</v>
      </c>
      <c r="C137" s="94">
        <v>6</v>
      </c>
    </row>
    <row r="138" spans="1:3" ht="29.1" customHeight="1">
      <c r="A138" s="113" t="s">
        <v>289</v>
      </c>
      <c r="B138" s="94">
        <v>2.9000000000000004</v>
      </c>
      <c r="C138" s="94">
        <v>1</v>
      </c>
    </row>
    <row r="139" spans="1:3" ht="29.1" customHeight="1">
      <c r="A139" s="113" t="s">
        <v>290</v>
      </c>
      <c r="B139" s="94">
        <v>37.049999999999997</v>
      </c>
      <c r="C139" s="94">
        <v>5</v>
      </c>
    </row>
    <row r="140" spans="1:3" ht="29.1" customHeight="1">
      <c r="A140" s="113" t="s">
        <v>291</v>
      </c>
      <c r="B140" s="94">
        <v>2.9333333333333358</v>
      </c>
      <c r="C140" s="94">
        <v>2</v>
      </c>
    </row>
    <row r="141" spans="1:3" ht="29.1" customHeight="1">
      <c r="A141" s="113" t="s">
        <v>292</v>
      </c>
      <c r="B141" s="94">
        <v>326.2166666666667</v>
      </c>
      <c r="C141" s="94">
        <v>16</v>
      </c>
    </row>
    <row r="142" spans="1:3" ht="29.1" customHeight="1">
      <c r="A142" s="113" t="s">
        <v>293</v>
      </c>
      <c r="B142" s="94">
        <v>4.5666666666666664</v>
      </c>
      <c r="C142" s="94">
        <v>1</v>
      </c>
    </row>
    <row r="143" spans="1:3" ht="29.1" customHeight="1">
      <c r="A143" s="113" t="s">
        <v>294</v>
      </c>
      <c r="B143" s="94">
        <v>25.150000000000006</v>
      </c>
      <c r="C143" s="94">
        <v>4</v>
      </c>
    </row>
    <row r="144" spans="1:3" ht="29.1" customHeight="1">
      <c r="A144" s="113" t="s">
        <v>295</v>
      </c>
      <c r="B144" s="94">
        <v>28.6</v>
      </c>
      <c r="C144" s="94">
        <v>3</v>
      </c>
    </row>
    <row r="145" spans="1:3" ht="29.1" customHeight="1">
      <c r="A145" s="113" t="s">
        <v>296</v>
      </c>
      <c r="B145" s="94">
        <v>7.9666666666666686</v>
      </c>
      <c r="C145" s="94">
        <v>2</v>
      </c>
    </row>
    <row r="146" spans="1:3" ht="29.1" customHeight="1">
      <c r="A146" s="113" t="s">
        <v>297</v>
      </c>
      <c r="B146" s="94">
        <v>85.916666666666714</v>
      </c>
      <c r="C146" s="94">
        <v>34</v>
      </c>
    </row>
    <row r="147" spans="1:3" ht="29.1" customHeight="1">
      <c r="A147" s="113" t="s">
        <v>298</v>
      </c>
      <c r="B147" s="94">
        <v>3.4833333333333343</v>
      </c>
      <c r="C147" s="94">
        <v>2</v>
      </c>
    </row>
    <row r="148" spans="1:3" ht="29.1" customHeight="1">
      <c r="A148" s="113" t="s">
        <v>299</v>
      </c>
      <c r="B148" s="94">
        <v>0.4499999999999984</v>
      </c>
      <c r="C148" s="94">
        <v>1</v>
      </c>
    </row>
    <row r="149" spans="1:3" ht="29.1" customHeight="1">
      <c r="A149" s="113" t="s">
        <v>300</v>
      </c>
      <c r="B149" s="94">
        <v>9.0500000000000007</v>
      </c>
      <c r="C149" s="94">
        <v>3</v>
      </c>
    </row>
    <row r="150" spans="1:3" ht="29.1" customHeight="1">
      <c r="A150" s="113" t="s">
        <v>301</v>
      </c>
      <c r="B150" s="94">
        <v>6.5000000000000009</v>
      </c>
      <c r="C150" s="94">
        <v>3</v>
      </c>
    </row>
    <row r="151" spans="1:3" ht="29.1" customHeight="1">
      <c r="A151" s="113" t="s">
        <v>302</v>
      </c>
      <c r="B151" s="94">
        <v>4.7666666666666675</v>
      </c>
      <c r="C151" s="94">
        <v>1</v>
      </c>
    </row>
    <row r="152" spans="1:3" ht="29.1" customHeight="1">
      <c r="A152" s="113" t="s">
        <v>303</v>
      </c>
      <c r="B152" s="94">
        <v>230.83333333333337</v>
      </c>
      <c r="C152" s="94">
        <v>50</v>
      </c>
    </row>
    <row r="153" spans="1:3" ht="29.1" customHeight="1">
      <c r="A153" s="113" t="s">
        <v>304</v>
      </c>
      <c r="B153" s="94">
        <v>4.6999999999999993</v>
      </c>
      <c r="C153" s="94">
        <v>1</v>
      </c>
    </row>
    <row r="154" spans="1:3" ht="29.1" customHeight="1">
      <c r="A154" s="113" t="s">
        <v>305</v>
      </c>
      <c r="B154" s="94">
        <v>2.3833333333333355</v>
      </c>
      <c r="C154" s="94">
        <v>2</v>
      </c>
    </row>
    <row r="155" spans="1:3" ht="29.1" customHeight="1">
      <c r="A155" s="113" t="s">
        <v>306</v>
      </c>
      <c r="B155" s="94">
        <v>4.0666666666666655</v>
      </c>
      <c r="C155" s="94">
        <v>1</v>
      </c>
    </row>
    <row r="156" spans="1:3" ht="29.1" customHeight="1">
      <c r="A156" s="113" t="s">
        <v>307</v>
      </c>
      <c r="B156" s="94">
        <v>13265.580833333397</v>
      </c>
      <c r="C156" s="9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5" priority="10" operator="lessThan">
      <formula>$D$2+$D$3</formula>
    </cfRule>
    <cfRule type="cellIs" dxfId="4"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G356" activePane="bottomRight" state="frozen"/>
      <selection pane="topRight" activeCell="AB39" sqref="AB39"/>
      <selection pane="bottomLeft" activeCell="AB39" sqref="AB39"/>
      <selection pane="bottomRight" activeCell="P1" sqref="P1"/>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44" customWidth="1"/>
    <col min="41" max="43" width="11.28515625" customWidth="1"/>
  </cols>
  <sheetData>
    <row r="1" spans="1:45" ht="60">
      <c r="A1" s="130" t="s">
        <v>73</v>
      </c>
      <c r="B1" s="131" t="s">
        <v>3</v>
      </c>
      <c r="C1" s="131" t="s">
        <v>74</v>
      </c>
      <c r="D1" s="131" t="s">
        <v>75</v>
      </c>
      <c r="E1" s="131" t="s">
        <v>46</v>
      </c>
      <c r="F1" s="132" t="s">
        <v>76</v>
      </c>
      <c r="G1" s="132" t="s">
        <v>77</v>
      </c>
      <c r="H1" s="132" t="s">
        <v>78</v>
      </c>
      <c r="I1" s="132" t="s">
        <v>79</v>
      </c>
      <c r="J1" s="132" t="s">
        <v>80</v>
      </c>
      <c r="K1" s="132" t="s">
        <v>81</v>
      </c>
      <c r="L1" s="132" t="s">
        <v>82</v>
      </c>
      <c r="M1" s="132" t="s">
        <v>83</v>
      </c>
      <c r="N1" s="132" t="s">
        <v>84</v>
      </c>
      <c r="O1" s="132" t="s">
        <v>85</v>
      </c>
      <c r="P1" s="132" t="s">
        <v>86</v>
      </c>
      <c r="Q1" s="132" t="s">
        <v>87</v>
      </c>
      <c r="R1" s="132" t="s">
        <v>88</v>
      </c>
      <c r="S1" s="132" t="s">
        <v>89</v>
      </c>
      <c r="T1" s="132" t="s">
        <v>90</v>
      </c>
      <c r="U1" s="132" t="s">
        <v>91</v>
      </c>
      <c r="V1" s="132" t="s">
        <v>92</v>
      </c>
      <c r="W1" s="132" t="s">
        <v>93</v>
      </c>
      <c r="X1" s="132" t="s">
        <v>94</v>
      </c>
      <c r="Y1" s="132" t="s">
        <v>95</v>
      </c>
      <c r="Z1" s="132" t="s">
        <v>96</v>
      </c>
      <c r="AA1" s="132" t="s">
        <v>97</v>
      </c>
      <c r="AB1" s="132" t="s">
        <v>98</v>
      </c>
      <c r="AC1" s="132" t="s">
        <v>99</v>
      </c>
      <c r="AD1" s="132" t="s">
        <v>100</v>
      </c>
      <c r="AE1" s="132" t="s">
        <v>101</v>
      </c>
      <c r="AF1" s="132" t="s">
        <v>102</v>
      </c>
      <c r="AG1" s="132" t="s">
        <v>103</v>
      </c>
      <c r="AH1" s="132" t="s">
        <v>104</v>
      </c>
      <c r="AI1" s="132" t="s">
        <v>61</v>
      </c>
      <c r="AJ1" s="132" t="s">
        <v>105</v>
      </c>
      <c r="AK1" s="132" t="s">
        <v>106</v>
      </c>
      <c r="AL1" s="132" t="s">
        <v>107</v>
      </c>
      <c r="AM1" s="132" t="s">
        <v>108</v>
      </c>
      <c r="AN1" s="133" t="s">
        <v>109</v>
      </c>
      <c r="AO1" s="132" t="s">
        <v>63</v>
      </c>
      <c r="AP1" s="132" t="s">
        <v>110</v>
      </c>
      <c r="AQ1" s="132" t="s">
        <v>111</v>
      </c>
      <c r="AR1" s="132" t="s">
        <v>112</v>
      </c>
      <c r="AS1" s="132" t="s">
        <v>113</v>
      </c>
    </row>
    <row r="2" spans="1:45">
      <c r="A2" s="134">
        <v>45745</v>
      </c>
      <c r="B2" s="123">
        <f>YEAR(Table13[[#This Row],[Date]])+IF(MONTH(Table13[[#This Row],[Date]])&gt;=4,1,0)</f>
        <v>2025</v>
      </c>
      <c r="C2" s="121">
        <f>YEAR(Table13[[#This Row],[Date]])</f>
        <v>2025</v>
      </c>
      <c r="D2" s="135">
        <f>Table13[[#This Row],[Date]]-DAY(Table13[[#This Row],[Date]])+1</f>
        <v>45717</v>
      </c>
      <c r="E2" s="121">
        <f t="shared" ref="E2:E35" si="0">DAY(EOMONTH(A2,0))</f>
        <v>31</v>
      </c>
      <c r="F2" s="124"/>
      <c r="G2" s="125"/>
      <c r="H2" s="125"/>
      <c r="I2" s="125"/>
      <c r="J2" s="125"/>
      <c r="K2" s="136"/>
      <c r="L2" s="125"/>
      <c r="M2" s="125">
        <f>IFERROR(_xlfn.XLOOKUP($A2,Input_Raw!$A:$A,Input_Raw!CG:CG),"")</f>
        <v>3.5474358974358982</v>
      </c>
      <c r="N2" s="125">
        <f>IFERROR(_xlfn.XLOOKUP($A2,Input_Raw!$A:$A,Input_Raw!CH:CH),"")</f>
        <v>0</v>
      </c>
      <c r="O2" s="137" t="str">
        <f t="shared" ref="O2:O36" si="1">IFERROR(P2*Q2,"")</f>
        <v/>
      </c>
      <c r="P2" s="137" t="str">
        <f>IFERROR(1-SUMIF(WTG_BD!$F:$F,$A2,WTG_BD!$AA:$AA)/($AA2+SUMIF(WTG_BD!$F:$F,$A2,WTG_BD!$AA:$AA)),"")</f>
        <v/>
      </c>
      <c r="Q2" s="138" t="str">
        <f>IFERROR(1-SUMIF(IGA_BD!$F:$F,$A2,IGA_BD!$V:$V)/($AA2+SUMIF(IGA_BD!$F:$F,$A2,IGA_BD!$V:$V)),"")</f>
        <v/>
      </c>
      <c r="R2" s="143" t="str">
        <f>IFERROR(1-SUMIF(Grid_BD!$F:$F,$A2,Grid_BD!$X:$X)/($AA2+SUMIF(Grid_BD!$F:$F,$A2,Grid_BD!$X:$X)),"")</f>
        <v/>
      </c>
      <c r="S2" s="121"/>
      <c r="T2" s="138"/>
      <c r="U2" s="139"/>
      <c r="V2" s="121"/>
      <c r="W2" s="140" t="str">
        <f>IFERROR(Table13[[#This Row],[Mtr_Net_Exp (KWh)]]/(24*AR2*1000),"")</f>
        <v/>
      </c>
      <c r="X2" s="121">
        <f>IFERROR(_xlfn.XLOOKUP($A2,Input_Raw!$A:$A,Input_Raw!$CF:$CF),"")</f>
        <v>125761</v>
      </c>
      <c r="Y2" s="121" t="str">
        <f>IFERROR(_xlfn.XLOOKUP($A2,Input_Raw!$A:$A,Input_Raw!$CZ:$CZ),"")</f>
        <v/>
      </c>
      <c r="Z2" s="121" t="str">
        <f>IFERROR(_xlfn.XLOOKUP($A2,Input_Raw!$A:$A,Input_Raw!$DA:$DA),"")</f>
        <v/>
      </c>
      <c r="AA2" s="123" t="str">
        <f t="shared" ref="AA2:AA35" si="2">IFERROR(Y2-Z2,"")</f>
        <v/>
      </c>
      <c r="AB2" s="121">
        <f>IFERROR(_xlfn.XLOOKUP($A2,Input_Raw!$A:$A,Input_Raw!$DG:$DG),"")</f>
        <v>80</v>
      </c>
      <c r="AC2" s="141">
        <f>IFERROR(_xlfn.XLOOKUP($D2,'Modelling New'!$D:$D,'Modelling New'!$J:$J),"")</f>
        <v>4.5999999999999996</v>
      </c>
      <c r="AD2" s="123">
        <f>IFERROR(_xlfn.XLOOKUP($D2,'Modelling New'!$D:$D,'Modelling New'!$T:$T)*1000,"")</f>
        <v>257758.06451612903</v>
      </c>
      <c r="AE2" s="140"/>
      <c r="AF2" s="140">
        <f>IFERROR(_xlfn.XLOOKUP($D2,'Modelling New'!$D:$D,'Modelling New'!$W:$W),"")</f>
        <v>0.13424899193548387</v>
      </c>
      <c r="AG2" s="140">
        <f>IFERROR(_xlfn.XLOOKUP($D2,'Modelling New'!$D:$D,'Modelling New'!$AE:$AE),"")</f>
        <v>0.96029999999999993</v>
      </c>
      <c r="AH2" s="140">
        <f>IFERROR(_xlfn.XLOOKUP($D2,'Modelling New'!$D:$D,'Modelling New'!$AF:$AF),"")</f>
        <v>0.995</v>
      </c>
      <c r="AI2" s="121">
        <f>IFERROR(_xlfn.XLOOKUP($A2,Input_Raw!$A:$A,Input_Raw!$DE:$DE),"")</f>
        <v>0</v>
      </c>
      <c r="AJ2" s="121"/>
      <c r="AK2" s="121"/>
      <c r="AL2" s="121"/>
      <c r="AM2" s="121"/>
      <c r="AN2" s="142">
        <f>IFERROR(_xlfn.XLOOKUP($A2,Input_Raw!$A:$A,Input_Raw!$DB:$DB),"")</f>
        <v>0</v>
      </c>
      <c r="AO2" s="140">
        <f>IFERROR((_xlfn.XLOOKUP($A2,'WTG Reactive Power'!$A:$A,'WTG Reactive Power'!$AR:$AR))/X2/1000,"")</f>
        <v>0</v>
      </c>
      <c r="AP2" s="140">
        <f>IFERROR(_xlfn.XLOOKUP($D2,'Modelling New'!$D:$D,'Modelling New'!$AK:$AK),"")</f>
        <v>0.05</v>
      </c>
      <c r="AQ2" s="140">
        <f>IFERROR(_xlfn.XLOOKUP($D2,'Modelling New'!$D:$D,'Modelling New'!$AL:$AL),"")</f>
        <v>0.05</v>
      </c>
      <c r="AR2">
        <f>IFERROR(_xlfn.XLOOKUP($D2,'Modelling New'!$D:$D,'Modelling New'!$N:$N),"")</f>
        <v>80</v>
      </c>
    </row>
    <row r="3" spans="1:45">
      <c r="A3" s="134">
        <f t="shared" ref="A3:A37" si="3">A2+1</f>
        <v>45746</v>
      </c>
      <c r="B3" s="123">
        <f>YEAR(Table13[[#This Row],[Date]])+IF(MONTH(Table13[[#This Row],[Date]])&gt;=4,1,0)</f>
        <v>2025</v>
      </c>
      <c r="C3" s="121">
        <f>YEAR(Table13[[#This Row],[Date]])</f>
        <v>2025</v>
      </c>
      <c r="D3" s="135">
        <f>Table13[[#This Row],[Date]]-DAY(Table13[[#This Row],[Date]])+1</f>
        <v>45717</v>
      </c>
      <c r="E3" s="121">
        <f t="shared" si="0"/>
        <v>31</v>
      </c>
      <c r="F3" s="124"/>
      <c r="G3" s="125"/>
      <c r="H3" s="125"/>
      <c r="I3" s="125"/>
      <c r="J3" s="125"/>
      <c r="K3" s="136"/>
      <c r="L3" s="125"/>
      <c r="M3" s="125">
        <f>IFERROR(_xlfn.XLOOKUP($A3,Input_Raw!$A:$A,Input_Raw!CG:CG),"")</f>
        <v>3.5682051282051273</v>
      </c>
      <c r="N3" s="125">
        <f>IFERROR(_xlfn.XLOOKUP($A3,Input_Raw!$A:$A,Input_Raw!CH:CH),"")</f>
        <v>0</v>
      </c>
      <c r="O3" s="137">
        <f t="shared" si="1"/>
        <v>0.92812029492023151</v>
      </c>
      <c r="P3" s="137">
        <f>IFERROR(1-SUMIF(WTG_BD!$F:$F,$A3,WTG_BD!$AA:$AA)/($AA3+SUMIF(WTG_BD!$F:$F,$A3,WTG_BD!$AA:$AA)),"")</f>
        <v>0.92812029492023151</v>
      </c>
      <c r="Q3" s="138">
        <f>IFERROR(1-SUMIF(IGA_BD!$F:$F,$A3,IGA_BD!$V:$V)/($AA3+SUMIF(IGA_BD!$F:$F,$A3,IGA_BD!$V:$V)),"")</f>
        <v>1</v>
      </c>
      <c r="R3" s="143">
        <f>IFERROR(1-SUMIF(Grid_BD!$F:$F,$A3,Grid_BD!$X:$X)/($AA3+SUMIF(Grid_BD!$F:$F,$A3,Grid_BD!$X:$X)),"")</f>
        <v>1</v>
      </c>
      <c r="S3" s="121"/>
      <c r="T3" s="138"/>
      <c r="U3" s="139"/>
      <c r="V3" s="121"/>
      <c r="W3" s="140">
        <f>IFERROR(Table13[[#This Row],[Mtr_Net_Exp (KWh)]]/(24*AR3*1000),"")</f>
        <v>4.9375000000000002E-2</v>
      </c>
      <c r="X3" s="121">
        <f>IFERROR(_xlfn.XLOOKUP($A3,Input_Raw!$A:$A,Input_Raw!$CF:$CF),"")</f>
        <v>111431</v>
      </c>
      <c r="Y3" s="121">
        <f>IFERROR(_xlfn.XLOOKUP($A3,Input_Raw!$A:$A,Input_Raw!$CZ:$CZ),"")</f>
        <v>99600</v>
      </c>
      <c r="Z3" s="121">
        <f>IFERROR(_xlfn.XLOOKUP($A3,Input_Raw!$A:$A,Input_Raw!$DA:$DA),"")</f>
        <v>4800</v>
      </c>
      <c r="AA3" s="123">
        <f t="shared" si="2"/>
        <v>94800</v>
      </c>
      <c r="AB3" s="121">
        <f>IFERROR(_xlfn.XLOOKUP($A3,Input_Raw!$A:$A,Input_Raw!$DG:$DG),"")</f>
        <v>80</v>
      </c>
      <c r="AC3" s="141">
        <f>IFERROR(_xlfn.XLOOKUP($D3,'Modelling New'!$D:$D,'Modelling New'!$J:$J),"")</f>
        <v>4.5999999999999996</v>
      </c>
      <c r="AD3" s="123">
        <f>IFERROR(_xlfn.XLOOKUP($D3,'Modelling New'!$D:$D,'Modelling New'!$T:$T)*1000,"")</f>
        <v>257758.06451612903</v>
      </c>
      <c r="AE3" s="140"/>
      <c r="AF3" s="140">
        <f>IFERROR(_xlfn.XLOOKUP($D3,'Modelling New'!$D:$D,'Modelling New'!$W:$W),"")</f>
        <v>0.13424899193548387</v>
      </c>
      <c r="AG3" s="140">
        <f>IFERROR(_xlfn.XLOOKUP($D3,'Modelling New'!$D:$D,'Modelling New'!$AE:$AE),"")</f>
        <v>0.96029999999999993</v>
      </c>
      <c r="AH3" s="140">
        <f>IFERROR(_xlfn.XLOOKUP($D3,'Modelling New'!$D:$D,'Modelling New'!$AF:$AF),"")</f>
        <v>0.995</v>
      </c>
      <c r="AI3" s="121">
        <f>IFERROR(_xlfn.XLOOKUP($A3,Input_Raw!$A:$A,Input_Raw!$DE:$DE),"")</f>
        <v>0</v>
      </c>
      <c r="AJ3" s="121"/>
      <c r="AK3" s="121"/>
      <c r="AL3" s="121"/>
      <c r="AM3" s="121"/>
      <c r="AN3" s="142">
        <f>IFERROR(_xlfn.XLOOKUP($A3,Input_Raw!$A:$A,Input_Raw!$DB:$DB),"")</f>
        <v>0.10617332699159121</v>
      </c>
      <c r="AO3" s="140">
        <f>IFERROR((_xlfn.XLOOKUP($A3,'WTG Reactive Power'!$A:$A,'WTG Reactive Power'!$AR:$AR))/X3/1000,"")</f>
        <v>0</v>
      </c>
      <c r="AP3" s="140">
        <f>IFERROR(_xlfn.XLOOKUP($D3,'Modelling New'!$D:$D,'Modelling New'!$AK:$AK),"")</f>
        <v>0.05</v>
      </c>
      <c r="AQ3" s="140">
        <f>IFERROR(_xlfn.XLOOKUP($D3,'Modelling New'!$D:$D,'Modelling New'!$AL:$AL),"")</f>
        <v>0.05</v>
      </c>
      <c r="AR3">
        <f>IFERROR(_xlfn.XLOOKUP($D3,'Modelling New'!$D:$D,'Modelling New'!$N:$N),"")</f>
        <v>80</v>
      </c>
    </row>
    <row r="4" spans="1:45">
      <c r="A4" s="134">
        <f t="shared" si="3"/>
        <v>45747</v>
      </c>
      <c r="B4" s="123">
        <f>YEAR(Table13[[#This Row],[Date]])+IF(MONTH(Table13[[#This Row],[Date]])&gt;=4,1,0)</f>
        <v>2025</v>
      </c>
      <c r="C4" s="121">
        <f>YEAR(Table13[[#This Row],[Date]])</f>
        <v>2025</v>
      </c>
      <c r="D4" s="135">
        <f>Table13[[#This Row],[Date]]-DAY(Table13[[#This Row],[Date]])+1</f>
        <v>45717</v>
      </c>
      <c r="E4" s="121">
        <f t="shared" si="0"/>
        <v>31</v>
      </c>
      <c r="F4" s="124"/>
      <c r="G4" s="125"/>
      <c r="H4" s="125"/>
      <c r="I4" s="125"/>
      <c r="J4" s="125"/>
      <c r="K4" s="136"/>
      <c r="L4" s="125"/>
      <c r="M4" s="125">
        <f>IFERROR(_xlfn.XLOOKUP($A4,Input_Raw!$A:$A,Input_Raw!CG:CG),"")</f>
        <v>4.3910256410256414</v>
      </c>
      <c r="N4" s="125">
        <f>IFERROR(_xlfn.XLOOKUP($A4,Input_Raw!$A:$A,Input_Raw!CH:CH),"")</f>
        <v>0</v>
      </c>
      <c r="O4" s="137">
        <f t="shared" si="1"/>
        <v>0.88583219706992067</v>
      </c>
      <c r="P4" s="137">
        <f>IFERROR(1-SUMIF(WTG_BD!$F:$F,$A4,WTG_BD!$AA:$AA)/($AA4+SUMIF(WTG_BD!$F:$F,$A4,WTG_BD!$AA:$AA)),"")</f>
        <v>0.88790056532394868</v>
      </c>
      <c r="Q4" s="138">
        <f>IFERROR(1-SUMIF(IGA_BD!$F:$F,$A4,IGA_BD!$V:$V)/($AA4+SUMIF(IGA_BD!$F:$F,$A4,IGA_BD!$V:$V)),"")</f>
        <v>0.99767049562213828</v>
      </c>
      <c r="R4" s="143">
        <f>IFERROR(1-SUMIF(Grid_BD!$F:$F,$A4,Grid_BD!$X:$X)/($AA4+SUMIF(Grid_BD!$F:$F,$A4,Grid_BD!$X:$X)),"")</f>
        <v>1</v>
      </c>
      <c r="S4" s="121"/>
      <c r="T4" s="138"/>
      <c r="U4" s="139"/>
      <c r="V4" s="121"/>
      <c r="W4" s="140">
        <f>IFERROR(Table13[[#This Row],[Mtr_Net_Exp (KWh)]]/(24*AR4*1000),"")</f>
        <v>0.12937499999999999</v>
      </c>
      <c r="X4" s="121">
        <f>IFERROR(_xlfn.XLOOKUP($A4,Input_Raw!$A:$A,Input_Raw!$CF:$CF),"")</f>
        <v>258117</v>
      </c>
      <c r="Y4" s="121">
        <f>IFERROR(_xlfn.XLOOKUP($A4,Input_Raw!$A:$A,Input_Raw!$CZ:$CZ),"")</f>
        <v>250800</v>
      </c>
      <c r="Z4" s="121">
        <f>IFERROR(_xlfn.XLOOKUP($A4,Input_Raw!$A:$A,Input_Raw!$DA:$DA),"")</f>
        <v>2400</v>
      </c>
      <c r="AA4" s="123">
        <f t="shared" si="2"/>
        <v>248400</v>
      </c>
      <c r="AB4" s="121">
        <f>IFERROR(_xlfn.XLOOKUP($A4,Input_Raw!$A:$A,Input_Raw!$DG:$DG),"")</f>
        <v>80</v>
      </c>
      <c r="AC4" s="141">
        <f>IFERROR(_xlfn.XLOOKUP($D4,'Modelling New'!$D:$D,'Modelling New'!$J:$J),"")</f>
        <v>4.5999999999999996</v>
      </c>
      <c r="AD4" s="123">
        <f>IFERROR(_xlfn.XLOOKUP($D4,'Modelling New'!$D:$D,'Modelling New'!$T:$T)*1000,"")</f>
        <v>257758.06451612903</v>
      </c>
      <c r="AE4" s="140"/>
      <c r="AF4" s="140">
        <f>IFERROR(_xlfn.XLOOKUP($D4,'Modelling New'!$D:$D,'Modelling New'!$W:$W),"")</f>
        <v>0.13424899193548387</v>
      </c>
      <c r="AG4" s="140">
        <f>IFERROR(_xlfn.XLOOKUP($D4,'Modelling New'!$D:$D,'Modelling New'!$AE:$AE),"")</f>
        <v>0.96029999999999993</v>
      </c>
      <c r="AH4" s="140">
        <f>IFERROR(_xlfn.XLOOKUP($D4,'Modelling New'!$D:$D,'Modelling New'!$AF:$AF),"")</f>
        <v>0.995</v>
      </c>
      <c r="AI4" s="121">
        <f>IFERROR(_xlfn.XLOOKUP($A4,Input_Raw!$A:$A,Input_Raw!$DE:$DE),"")</f>
        <v>0</v>
      </c>
      <c r="AJ4" s="121"/>
      <c r="AK4" s="121"/>
      <c r="AL4" s="121"/>
      <c r="AM4" s="121"/>
      <c r="AN4" s="142">
        <f>IFERROR(_xlfn.XLOOKUP($A4,Input_Raw!$A:$A,Input_Raw!$DB:$DB),"")</f>
        <v>2.8347609804855955E-2</v>
      </c>
      <c r="AO4" s="140">
        <f>IFERROR((_xlfn.XLOOKUP($A4,'WTG Reactive Power'!$A:$A,'WTG Reactive Power'!$AR:$AR))/X4/1000,"")</f>
        <v>1.851952074059438E-4</v>
      </c>
      <c r="AP4" s="140">
        <f>IFERROR(_xlfn.XLOOKUP($D4,'Modelling New'!$D:$D,'Modelling New'!$AK:$AK),"")</f>
        <v>0.05</v>
      </c>
      <c r="AQ4" s="140">
        <f>IFERROR(_xlfn.XLOOKUP($D4,'Modelling New'!$D:$D,'Modelling New'!$AL:$AL),"")</f>
        <v>0.05</v>
      </c>
      <c r="AR4">
        <f>IFERROR(_xlfn.XLOOKUP($D4,'Modelling New'!$D:$D,'Modelling New'!$N:$N),"")</f>
        <v>80</v>
      </c>
      <c r="AS4" s="166"/>
    </row>
    <row r="5" spans="1:45">
      <c r="A5" s="134">
        <f t="shared" si="3"/>
        <v>45748</v>
      </c>
      <c r="B5" s="123">
        <f>YEAR(Table13[[#This Row],[Date]])+IF(MONTH(Table13[[#This Row],[Date]])&gt;=4,1,0)</f>
        <v>2026</v>
      </c>
      <c r="C5" s="121">
        <f>YEAR(Table13[[#This Row],[Date]])</f>
        <v>2025</v>
      </c>
      <c r="D5" s="135">
        <f>Table13[[#This Row],[Date]]-DAY(Table13[[#This Row],[Date]])+1</f>
        <v>45748</v>
      </c>
      <c r="E5" s="121">
        <f t="shared" si="0"/>
        <v>30</v>
      </c>
      <c r="F5" s="124"/>
      <c r="G5" s="125"/>
      <c r="H5" s="125"/>
      <c r="I5" s="125"/>
      <c r="J5" s="125"/>
      <c r="K5" s="136"/>
      <c r="L5" s="125"/>
      <c r="M5" s="125">
        <f>IFERROR(_xlfn.XLOOKUP($A5,Input_Raw!$A:$A,Input_Raw!CG:CG),"")</f>
        <v>4.056923076923078</v>
      </c>
      <c r="N5" s="125">
        <f>IFERROR(_xlfn.XLOOKUP($A5,Input_Raw!$A:$A,Input_Raw!CH:CH),"")</f>
        <v>0</v>
      </c>
      <c r="O5" s="137">
        <f t="shared" si="1"/>
        <v>0.83810550456386168</v>
      </c>
      <c r="P5" s="137">
        <f>IFERROR(1-SUMIF(WTG_BD!$F:$F,$A5,WTG_BD!$AA:$AA)/($AA5+SUMIF(WTG_BD!$F:$F,$A5,WTG_BD!$AA:$AA)),"")</f>
        <v>0.85327863618012079</v>
      </c>
      <c r="Q5" s="138">
        <f>IFERROR(1-SUMIF(IGA_BD!$F:$F,$A5,IGA_BD!$V:$V)/($AA5+SUMIF(IGA_BD!$F:$F,$A5,IGA_BD!$V:$V)),"")</f>
        <v>0.98221784658270039</v>
      </c>
      <c r="R5" s="143">
        <f>IFERROR(1-SUMIF(Grid_BD!$F:$F,$A5,Grid_BD!$X:$X)/($AA5+SUMIF(Grid_BD!$F:$F,$A5,Grid_BD!$X:$X)),"")</f>
        <v>1</v>
      </c>
      <c r="S5" s="121"/>
      <c r="T5" s="138"/>
      <c r="U5" s="139"/>
      <c r="V5" s="121"/>
      <c r="W5" s="140">
        <f>IFERROR(Table13[[#This Row],[Mtr_Net_Exp (KWh)]]/(24*AR5*1000),"")</f>
        <v>0.10641025641025641</v>
      </c>
      <c r="X5" s="121">
        <f>IFERROR(_xlfn.XLOOKUP($A5,Input_Raw!$A:$A,Input_Raw!$CF:$CF),"")</f>
        <v>216864</v>
      </c>
      <c r="Y5" s="121">
        <f>IFERROR(_xlfn.XLOOKUP($A5,Input_Raw!$A:$A,Input_Raw!$CZ:$CZ),"")</f>
        <v>202800</v>
      </c>
      <c r="Z5" s="121">
        <f>IFERROR(_xlfn.XLOOKUP($A5,Input_Raw!$A:$A,Input_Raw!$DA:$DA),"")</f>
        <v>3600</v>
      </c>
      <c r="AA5" s="123">
        <f t="shared" si="2"/>
        <v>199200</v>
      </c>
      <c r="AB5" s="121">
        <f>IFERROR(_xlfn.XLOOKUP($A5,Input_Raw!$A:$A,Input_Raw!$DG:$DG),"")</f>
        <v>78</v>
      </c>
      <c r="AC5" s="141">
        <f>IFERROR(_xlfn.XLOOKUP($D5,'Modelling New'!$D:$D,'Modelling New'!$J:$J),"")</f>
        <v>5.6333333333333329</v>
      </c>
      <c r="AD5" s="123">
        <f>IFERROR(_xlfn.XLOOKUP($D5,'Modelling New'!$D:$D,'Modelling New'!$T:$T)*1000,"")</f>
        <v>340888.47260338557</v>
      </c>
      <c r="AE5" s="140"/>
      <c r="AF5" s="140">
        <f>IFERROR(_xlfn.XLOOKUP($D5,'Modelling New'!$D:$D,'Modelling New'!$W:$W),"")</f>
        <v>0.18209854305736409</v>
      </c>
      <c r="AG5" s="140">
        <f>IFERROR(_xlfn.XLOOKUP($D5,'Modelling New'!$D:$D,'Modelling New'!$AE:$AE),"")</f>
        <v>0.96029999999999993</v>
      </c>
      <c r="AH5" s="140">
        <f>IFERROR(_xlfn.XLOOKUP($D5,'Modelling New'!$D:$D,'Modelling New'!$AF:$AF),"")</f>
        <v>0.995</v>
      </c>
      <c r="AI5" s="121">
        <f>IFERROR(_xlfn.XLOOKUP($A5,Input_Raw!$A:$A,Input_Raw!$DE:$DE),"")</f>
        <v>217.953</v>
      </c>
      <c r="AJ5" s="121"/>
      <c r="AK5" s="121"/>
      <c r="AL5" s="121"/>
      <c r="AM5" s="121"/>
      <c r="AN5" s="142">
        <f>IFERROR(_xlfn.XLOOKUP($A5,Input_Raw!$A:$A,Input_Raw!$DB:$DB),"")</f>
        <v>6.4851704293935386E-2</v>
      </c>
      <c r="AO5" s="140">
        <f>IFERROR((_xlfn.XLOOKUP($A5,'WTG Reactive Power'!$A:$A,'WTG Reactive Power'!$AR:$AR))/X5/1000,"")</f>
        <v>2.2132939853241357E-4</v>
      </c>
      <c r="AP5" s="140">
        <f>IFERROR(_xlfn.XLOOKUP($D5,'Modelling New'!$D:$D,'Modelling New'!$AK:$AK),"")</f>
        <v>0.05</v>
      </c>
      <c r="AQ5" s="140">
        <f>IFERROR(_xlfn.XLOOKUP($D5,'Modelling New'!$D:$D,'Modelling New'!$AL:$AL),"")</f>
        <v>0.05</v>
      </c>
      <c r="AR5">
        <f>IFERROR(_xlfn.XLOOKUP($D5,'Modelling New'!$D:$D,'Modelling New'!$N:$N),"")</f>
        <v>78</v>
      </c>
    </row>
    <row r="6" spans="1:45">
      <c r="A6" s="134">
        <f t="shared" si="3"/>
        <v>45749</v>
      </c>
      <c r="B6" s="123">
        <f>YEAR(Table13[[#This Row],[Date]])+IF(MONTH(Table13[[#This Row],[Date]])&gt;=4,1,0)</f>
        <v>2026</v>
      </c>
      <c r="C6" s="121">
        <f>YEAR(Table13[[#This Row],[Date]])</f>
        <v>2025</v>
      </c>
      <c r="D6" s="135">
        <f>Table13[[#This Row],[Date]]-DAY(Table13[[#This Row],[Date]])+1</f>
        <v>45748</v>
      </c>
      <c r="E6" s="121">
        <f t="shared" si="0"/>
        <v>30</v>
      </c>
      <c r="F6" s="124"/>
      <c r="G6" s="125"/>
      <c r="H6" s="125"/>
      <c r="I6" s="125"/>
      <c r="J6" s="125"/>
      <c r="K6" s="136"/>
      <c r="L6" s="125"/>
      <c r="M6" s="125">
        <f>IFERROR(_xlfn.XLOOKUP($A6,Input_Raw!$A:$A,Input_Raw!CG:CG),"")</f>
        <v>5.5428205128205121</v>
      </c>
      <c r="N6" s="125">
        <f>IFERROR(_xlfn.XLOOKUP($A6,Input_Raw!$A:$A,Input_Raw!CH:CH),"")</f>
        <v>0</v>
      </c>
      <c r="O6" s="137">
        <f t="shared" si="1"/>
        <v>0.87366895837199343</v>
      </c>
      <c r="P6" s="137">
        <f>IFERROR(1-SUMIF(WTG_BD!$F:$F,$A6,WTG_BD!$AA:$AA)/($AA6+SUMIF(WTG_BD!$F:$F,$A6,WTG_BD!$AA:$AA)),"")</f>
        <v>0.88824314595658349</v>
      </c>
      <c r="Q6" s="138">
        <f>IFERROR(1-SUMIF(IGA_BD!$F:$F,$A6,IGA_BD!$V:$V)/($AA6+SUMIF(IGA_BD!$F:$F,$A6,IGA_BD!$V:$V)),"")</f>
        <v>0.98359211928520474</v>
      </c>
      <c r="R6" s="143">
        <f>IFERROR(1-SUMIF(Grid_BD!$F:$F,$A6,Grid_BD!$X:$X)/($AA6+SUMIF(Grid_BD!$F:$F,$A6,Grid_BD!$X:$X)),"")</f>
        <v>1</v>
      </c>
      <c r="S6" s="121"/>
      <c r="T6" s="138"/>
      <c r="U6" s="139"/>
      <c r="V6" s="121"/>
      <c r="W6" s="140">
        <f>IFERROR(Table13[[#This Row],[Mtr_Net_Exp (KWh)]]/(24*AR6*1000),"")</f>
        <v>0.22371794871794873</v>
      </c>
      <c r="X6" s="121">
        <f>IFERROR(_xlfn.XLOOKUP($A6,Input_Raw!$A:$A,Input_Raw!$CF:$CF),"")</f>
        <v>428910</v>
      </c>
      <c r="Y6" s="121">
        <f>IFERROR(_xlfn.XLOOKUP($A6,Input_Raw!$A:$A,Input_Raw!$CZ:$CZ),"")</f>
        <v>418800</v>
      </c>
      <c r="Z6" s="121">
        <f>IFERROR(_xlfn.XLOOKUP($A6,Input_Raw!$A:$A,Input_Raw!$DA:$DA),"")</f>
        <v>0</v>
      </c>
      <c r="AA6" s="123">
        <f t="shared" si="2"/>
        <v>418800</v>
      </c>
      <c r="AB6" s="121">
        <f>IFERROR(_xlfn.XLOOKUP($A6,Input_Raw!$A:$A,Input_Raw!$DG:$DG),"")</f>
        <v>78</v>
      </c>
      <c r="AC6" s="141">
        <f>IFERROR(_xlfn.XLOOKUP($D6,'Modelling New'!$D:$D,'Modelling New'!$J:$J),"")</f>
        <v>5.6333333333333329</v>
      </c>
      <c r="AD6" s="123">
        <f>IFERROR(_xlfn.XLOOKUP($D6,'Modelling New'!$D:$D,'Modelling New'!$T:$T)*1000,"")</f>
        <v>340888.47260338557</v>
      </c>
      <c r="AE6" s="140"/>
      <c r="AF6" s="140">
        <f>IFERROR(_xlfn.XLOOKUP($D6,'Modelling New'!$D:$D,'Modelling New'!$W:$W),"")</f>
        <v>0.18209854305736409</v>
      </c>
      <c r="AG6" s="140">
        <f>IFERROR(_xlfn.XLOOKUP($D6,'Modelling New'!$D:$D,'Modelling New'!$AE:$AE),"")</f>
        <v>0.96029999999999993</v>
      </c>
      <c r="AH6" s="140">
        <f>IFERROR(_xlfn.XLOOKUP($D6,'Modelling New'!$D:$D,'Modelling New'!$AF:$AF),"")</f>
        <v>0.995</v>
      </c>
      <c r="AI6" s="121">
        <f>IFERROR(_xlfn.XLOOKUP($A6,Input_Raw!$A:$A,Input_Raw!$DE:$DE),"")</f>
        <v>422.85899999999998</v>
      </c>
      <c r="AJ6" s="121"/>
      <c r="AK6" s="121"/>
      <c r="AL6" s="121"/>
      <c r="AM6" s="121"/>
      <c r="AN6" s="142">
        <f>IFERROR(_xlfn.XLOOKUP($A6,Input_Raw!$A:$A,Input_Raw!$DB:$DB),"")</f>
        <v>2.357137861089742E-2</v>
      </c>
      <c r="AO6" s="140">
        <f>IFERROR((_xlfn.XLOOKUP($A6,'WTG Reactive Power'!$A:$A,'WTG Reactive Power'!$AR:$AR))/X6/1000,"")</f>
        <v>1.5414116644517492E-4</v>
      </c>
      <c r="AP6" s="140">
        <f>IFERROR(_xlfn.XLOOKUP($D6,'Modelling New'!$D:$D,'Modelling New'!$AK:$AK),"")</f>
        <v>0.05</v>
      </c>
      <c r="AQ6" s="140">
        <f>IFERROR(_xlfn.XLOOKUP($D6,'Modelling New'!$D:$D,'Modelling New'!$AL:$AL),"")</f>
        <v>0.05</v>
      </c>
      <c r="AR6">
        <f>IFERROR(_xlfn.XLOOKUP($D6,'Modelling New'!$D:$D,'Modelling New'!$N:$N),"")</f>
        <v>78</v>
      </c>
    </row>
    <row r="7" spans="1:45">
      <c r="A7" s="134">
        <f t="shared" si="3"/>
        <v>45750</v>
      </c>
      <c r="B7" s="123">
        <f>YEAR(Table13[[#This Row],[Date]])+IF(MONTH(Table13[[#This Row],[Date]])&gt;=4,1,0)</f>
        <v>2026</v>
      </c>
      <c r="C7" s="121">
        <f>YEAR(Table13[[#This Row],[Date]])</f>
        <v>2025</v>
      </c>
      <c r="D7" s="135">
        <f>Table13[[#This Row],[Date]]-DAY(Table13[[#This Row],[Date]])+1</f>
        <v>45748</v>
      </c>
      <c r="E7" s="121">
        <f t="shared" si="0"/>
        <v>30</v>
      </c>
      <c r="F7" s="124"/>
      <c r="G7" s="125"/>
      <c r="H7" s="125"/>
      <c r="I7" s="125"/>
      <c r="J7" s="125"/>
      <c r="K7" s="136"/>
      <c r="L7" s="125"/>
      <c r="M7" s="125">
        <f>IFERROR(_xlfn.XLOOKUP($A7,Input_Raw!$A:$A,Input_Raw!CG:CG),"")</f>
        <v>4.3910256410256414</v>
      </c>
      <c r="N7" s="125">
        <f>IFERROR(_xlfn.XLOOKUP($A7,Input_Raw!$A:$A,Input_Raw!CH:CH),"")</f>
        <v>0</v>
      </c>
      <c r="O7" s="137">
        <f t="shared" si="1"/>
        <v>0.90000380141160463</v>
      </c>
      <c r="P7" s="137">
        <f>IFERROR(1-SUMIF(WTG_BD!$F:$F,$A7,WTG_BD!$AA:$AA)/($AA7+SUMIF(WTG_BD!$F:$F,$A7,WTG_BD!$AA:$AA)),"")</f>
        <v>0.903125780617553</v>
      </c>
      <c r="Q7" s="138">
        <f>IFERROR(1-SUMIF(IGA_BD!$F:$F,$A7,IGA_BD!$V:$V)/($AA7+SUMIF(IGA_BD!$F:$F,$A7,IGA_BD!$V:$V)),"")</f>
        <v>0.99654314019934898</v>
      </c>
      <c r="R7" s="143">
        <f>IFERROR(1-SUMIF(Grid_BD!$F:$F,$A7,Grid_BD!$X:$X)/($AA7+SUMIF(Grid_BD!$F:$F,$A7,Grid_BD!$X:$X)),"")</f>
        <v>1</v>
      </c>
      <c r="S7" s="121"/>
      <c r="T7" s="138"/>
      <c r="U7" s="139"/>
      <c r="V7" s="121"/>
      <c r="W7" s="140">
        <f>IFERROR(Table13[[#This Row],[Mtr_Net_Exp (KWh)]]/(24*AR7*1000),"")</f>
        <v>0.13205128205128205</v>
      </c>
      <c r="X7" s="121">
        <f>IFERROR(_xlfn.XLOOKUP($A7,Input_Raw!$A:$A,Input_Raw!$CF:$CF),"")</f>
        <v>257492</v>
      </c>
      <c r="Y7" s="121">
        <f>IFERROR(_xlfn.XLOOKUP($A7,Input_Raw!$A:$A,Input_Raw!$CZ:$CZ),"")</f>
        <v>250800</v>
      </c>
      <c r="Z7" s="121">
        <f>IFERROR(_xlfn.XLOOKUP($A7,Input_Raw!$A:$A,Input_Raw!$DA:$DA),"")</f>
        <v>3600</v>
      </c>
      <c r="AA7" s="123">
        <f t="shared" si="2"/>
        <v>247200</v>
      </c>
      <c r="AB7" s="121">
        <f>IFERROR(_xlfn.XLOOKUP($A7,Input_Raw!$A:$A,Input_Raw!$DG:$DG),"")</f>
        <v>78</v>
      </c>
      <c r="AC7" s="141">
        <f>IFERROR(_xlfn.XLOOKUP($D7,'Modelling New'!$D:$D,'Modelling New'!$J:$J),"")</f>
        <v>5.6333333333333329</v>
      </c>
      <c r="AD7" s="123">
        <f>IFERROR(_xlfn.XLOOKUP($D7,'Modelling New'!$D:$D,'Modelling New'!$T:$T)*1000,"")</f>
        <v>340888.47260338557</v>
      </c>
      <c r="AE7" s="140"/>
      <c r="AF7" s="140">
        <f>IFERROR(_xlfn.XLOOKUP($D7,'Modelling New'!$D:$D,'Modelling New'!$W:$W),"")</f>
        <v>0.18209854305736409</v>
      </c>
      <c r="AG7" s="140">
        <f>IFERROR(_xlfn.XLOOKUP($D7,'Modelling New'!$D:$D,'Modelling New'!$AE:$AE),"")</f>
        <v>0.96029999999999993</v>
      </c>
      <c r="AH7" s="140">
        <f>IFERROR(_xlfn.XLOOKUP($D7,'Modelling New'!$D:$D,'Modelling New'!$AF:$AF),"")</f>
        <v>0.995</v>
      </c>
      <c r="AI7" s="121">
        <f>IFERROR(_xlfn.XLOOKUP($A7,Input_Raw!$A:$A,Input_Raw!$DE:$DE),"")</f>
        <v>255.178</v>
      </c>
      <c r="AJ7" s="121"/>
      <c r="AK7" s="121"/>
      <c r="AL7" s="121"/>
      <c r="AM7" s="121"/>
      <c r="AN7" s="142">
        <f>IFERROR(_xlfn.XLOOKUP($A7,Input_Raw!$A:$A,Input_Raw!$DB:$DB),"")</f>
        <v>2.5989156944681735E-2</v>
      </c>
      <c r="AO7" s="140">
        <f>IFERROR((_xlfn.XLOOKUP($A7,'WTG Reactive Power'!$A:$A,'WTG Reactive Power'!$AR:$AR))/X7/1000,"")</f>
        <v>2.0118712374235577E-4</v>
      </c>
      <c r="AP7" s="140">
        <f>IFERROR(_xlfn.XLOOKUP($D7,'Modelling New'!$D:$D,'Modelling New'!$AK:$AK),"")</f>
        <v>0.05</v>
      </c>
      <c r="AQ7" s="140">
        <f>IFERROR(_xlfn.XLOOKUP($D7,'Modelling New'!$D:$D,'Modelling New'!$AL:$AL),"")</f>
        <v>0.05</v>
      </c>
      <c r="AR7">
        <f>IFERROR(_xlfn.XLOOKUP($D7,'Modelling New'!$D:$D,'Modelling New'!$N:$N),"")</f>
        <v>78</v>
      </c>
    </row>
    <row r="8" spans="1:45">
      <c r="A8" s="134">
        <f t="shared" si="3"/>
        <v>45751</v>
      </c>
      <c r="B8" s="123">
        <f>YEAR(Table13[[#This Row],[Date]])+IF(MONTH(Table13[[#This Row],[Date]])&gt;=4,1,0)</f>
        <v>2026</v>
      </c>
      <c r="C8" s="121">
        <f>YEAR(Table13[[#This Row],[Date]])</f>
        <v>2025</v>
      </c>
      <c r="D8" s="135">
        <f>Table13[[#This Row],[Date]]-DAY(Table13[[#This Row],[Date]])+1</f>
        <v>45748</v>
      </c>
      <c r="E8" s="121">
        <f t="shared" si="0"/>
        <v>30</v>
      </c>
      <c r="F8" s="124"/>
      <c r="G8" s="125"/>
      <c r="H8" s="125"/>
      <c r="I8" s="125"/>
      <c r="J8" s="125"/>
      <c r="K8" s="136"/>
      <c r="L8" s="125"/>
      <c r="M8" s="125">
        <f>IFERROR(_xlfn.XLOOKUP($A8,Input_Raw!$A:$A,Input_Raw!CG:CG),"")</f>
        <v>4.057948717948717</v>
      </c>
      <c r="N8" s="125">
        <f>IFERROR(_xlfn.XLOOKUP($A8,Input_Raw!$A:$A,Input_Raw!CH:CH),"")</f>
        <v>0</v>
      </c>
      <c r="O8" s="137">
        <f t="shared" si="1"/>
        <v>0.85596585328939345</v>
      </c>
      <c r="P8" s="137">
        <f>IFERROR(1-SUMIF(WTG_BD!$F:$F,$A8,WTG_BD!$AA:$AA)/($AA8+SUMIF(WTG_BD!$F:$F,$A8,WTG_BD!$AA:$AA)),"")</f>
        <v>0.85596585328939345</v>
      </c>
      <c r="Q8" s="138">
        <f>IFERROR(1-SUMIF(IGA_BD!$F:$F,$A8,IGA_BD!$V:$V)/($AA8+SUMIF(IGA_BD!$F:$F,$A8,IGA_BD!$V:$V)),"")</f>
        <v>1</v>
      </c>
      <c r="R8" s="143">
        <f>IFERROR(1-SUMIF(Grid_BD!$F:$F,$A8,Grid_BD!$X:$X)/($AA8+SUMIF(Grid_BD!$F:$F,$A8,Grid_BD!$X:$X)),"")</f>
        <v>1</v>
      </c>
      <c r="S8" s="121"/>
      <c r="T8" s="138"/>
      <c r="U8" s="139"/>
      <c r="V8" s="121"/>
      <c r="W8" s="140">
        <f>IFERROR(Table13[[#This Row],[Mtr_Net_Exp (KWh)]]/(24*AR8*1000),"")</f>
        <v>7.4999999999999997E-2</v>
      </c>
      <c r="X8" s="121">
        <f>IFERROR(_xlfn.XLOOKUP($A8,Input_Raw!$A:$A,Input_Raw!$CF:$CF),"")</f>
        <v>161561</v>
      </c>
      <c r="Y8" s="121">
        <f>IFERROR(_xlfn.XLOOKUP($A8,Input_Raw!$A:$A,Input_Raw!$CZ:$CZ),"")</f>
        <v>144000</v>
      </c>
      <c r="Z8" s="121">
        <f>IFERROR(_xlfn.XLOOKUP($A8,Input_Raw!$A:$A,Input_Raw!$DA:$DA),"")</f>
        <v>3600</v>
      </c>
      <c r="AA8" s="123">
        <f t="shared" si="2"/>
        <v>140400</v>
      </c>
      <c r="AB8" s="121">
        <f>IFERROR(_xlfn.XLOOKUP($A8,Input_Raw!$A:$A,Input_Raw!$DG:$DG),"")</f>
        <v>78</v>
      </c>
      <c r="AC8" s="141">
        <f>IFERROR(_xlfn.XLOOKUP($D8,'Modelling New'!$D:$D,'Modelling New'!$J:$J),"")</f>
        <v>5.6333333333333329</v>
      </c>
      <c r="AD8" s="123">
        <f>IFERROR(_xlfn.XLOOKUP($D8,'Modelling New'!$D:$D,'Modelling New'!$T:$T)*1000,"")</f>
        <v>340888.47260338557</v>
      </c>
      <c r="AE8" s="140"/>
      <c r="AF8" s="140">
        <f>IFERROR(_xlfn.XLOOKUP($D8,'Modelling New'!$D:$D,'Modelling New'!$W:$W),"")</f>
        <v>0.18209854305736409</v>
      </c>
      <c r="AG8" s="140">
        <f>IFERROR(_xlfn.XLOOKUP($D8,'Modelling New'!$D:$D,'Modelling New'!$AE:$AE),"")</f>
        <v>0.96029999999999993</v>
      </c>
      <c r="AH8" s="140">
        <f>IFERROR(_xlfn.XLOOKUP($D8,'Modelling New'!$D:$D,'Modelling New'!$AF:$AF),"")</f>
        <v>0.995</v>
      </c>
      <c r="AI8" s="121">
        <f>IFERROR(_xlfn.XLOOKUP($A8,Input_Raw!$A:$A,Input_Raw!$DE:$DE),"")</f>
        <v>165.1</v>
      </c>
      <c r="AJ8" s="121"/>
      <c r="AK8" s="121"/>
      <c r="AL8" s="121"/>
      <c r="AM8" s="121"/>
      <c r="AN8" s="142">
        <f>IFERROR(_xlfn.XLOOKUP($A8,Input_Raw!$A:$A,Input_Raw!$DB:$DB),"")</f>
        <v>0.10869578673070857</v>
      </c>
      <c r="AO8" s="140">
        <f>IFERROR((_xlfn.XLOOKUP($A8,'WTG Reactive Power'!$A:$A,'WTG Reactive Power'!$AR:$AR))/X8/1000,"")</f>
        <v>2.8019829765021676E-4</v>
      </c>
      <c r="AP8" s="140">
        <f>IFERROR(_xlfn.XLOOKUP($D8,'Modelling New'!$D:$D,'Modelling New'!$AK:$AK),"")</f>
        <v>0.05</v>
      </c>
      <c r="AQ8" s="140">
        <f>IFERROR(_xlfn.XLOOKUP($D8,'Modelling New'!$D:$D,'Modelling New'!$AL:$AL),"")</f>
        <v>0.05</v>
      </c>
      <c r="AR8">
        <f>IFERROR(_xlfn.XLOOKUP($D8,'Modelling New'!$D:$D,'Modelling New'!$N:$N),"")</f>
        <v>78</v>
      </c>
    </row>
    <row r="9" spans="1:45">
      <c r="A9" s="134">
        <f t="shared" si="3"/>
        <v>45752</v>
      </c>
      <c r="B9" s="123">
        <f>YEAR(Table13[[#This Row],[Date]])+IF(MONTH(Table13[[#This Row],[Date]])&gt;=4,1,0)</f>
        <v>2026</v>
      </c>
      <c r="C9" s="121">
        <f>YEAR(Table13[[#This Row],[Date]])</f>
        <v>2025</v>
      </c>
      <c r="D9" s="135">
        <f>Table13[[#This Row],[Date]]-DAY(Table13[[#This Row],[Date]])+1</f>
        <v>45748</v>
      </c>
      <c r="E9" s="121">
        <f t="shared" si="0"/>
        <v>30</v>
      </c>
      <c r="F9" s="124"/>
      <c r="G9" s="125"/>
      <c r="H9" s="125"/>
      <c r="I9" s="125"/>
      <c r="J9" s="125"/>
      <c r="K9" s="136"/>
      <c r="L9" s="125"/>
      <c r="M9" s="125">
        <f>IFERROR(_xlfn.XLOOKUP($A9,Input_Raw!$A:$A,Input_Raw!CG:CG),"")</f>
        <v>2.9131756820653378</v>
      </c>
      <c r="N9" s="125">
        <f>IFERROR(_xlfn.XLOOKUP($A9,Input_Raw!$A:$A,Input_Raw!CH:CH),"")</f>
        <v>0</v>
      </c>
      <c r="O9" s="137">
        <f t="shared" si="1"/>
        <v>0.92495844573013719</v>
      </c>
      <c r="P9" s="137">
        <f>IFERROR(1-SUMIF(WTG_BD!$F:$F,$A9,WTG_BD!$AA:$AA)/($AA9+SUMIF(WTG_BD!$F:$F,$A9,WTG_BD!$AA:$AA)),"")</f>
        <v>0.92495844573013719</v>
      </c>
      <c r="Q9" s="138">
        <f>IFERROR(1-SUMIF(IGA_BD!$F:$F,$A9,IGA_BD!$V:$V)/($AA9+SUMIF(IGA_BD!$F:$F,$A9,IGA_BD!$V:$V)),"")</f>
        <v>1</v>
      </c>
      <c r="R9" s="143">
        <f>IFERROR(1-SUMIF(Grid_BD!$F:$F,$A9,Grid_BD!$X:$X)/($AA9+SUMIF(Grid_BD!$F:$F,$A9,Grid_BD!$X:$X)),"")</f>
        <v>1</v>
      </c>
      <c r="S9" s="121"/>
      <c r="T9" s="138"/>
      <c r="U9" s="139"/>
      <c r="V9" s="121"/>
      <c r="W9" s="140">
        <f>IFERROR(Table13[[#This Row],[Mtr_Net_Exp (KWh)]]/(24*AR9*1000),"")</f>
        <v>3.7820512820512818E-2</v>
      </c>
      <c r="X9" s="121">
        <f>IFERROR(_xlfn.XLOOKUP($A9,Input_Raw!$A:$A,Input_Raw!$CF:$CF),"")</f>
        <v>81163</v>
      </c>
      <c r="Y9" s="121">
        <f>IFERROR(_xlfn.XLOOKUP($A9,Input_Raw!$A:$A,Input_Raw!$CZ:$CZ),"")</f>
        <v>75600</v>
      </c>
      <c r="Z9" s="121">
        <f>IFERROR(_xlfn.XLOOKUP($A9,Input_Raw!$A:$A,Input_Raw!$DA:$DA),"")</f>
        <v>4800</v>
      </c>
      <c r="AA9" s="123">
        <f t="shared" si="2"/>
        <v>70800</v>
      </c>
      <c r="AB9" s="121">
        <f>IFERROR(_xlfn.XLOOKUP($A9,Input_Raw!$A:$A,Input_Raw!$DG:$DG),"")</f>
        <v>78</v>
      </c>
      <c r="AC9" s="141">
        <f>IFERROR(_xlfn.XLOOKUP($D9,'Modelling New'!$D:$D,'Modelling New'!$J:$J),"")</f>
        <v>5.6333333333333329</v>
      </c>
      <c r="AD9" s="123">
        <f>IFERROR(_xlfn.XLOOKUP($D9,'Modelling New'!$D:$D,'Modelling New'!$T:$T)*1000,"")</f>
        <v>340888.47260338557</v>
      </c>
      <c r="AE9" s="140"/>
      <c r="AF9" s="140">
        <f>IFERROR(_xlfn.XLOOKUP($D9,'Modelling New'!$D:$D,'Modelling New'!$W:$W),"")</f>
        <v>0.18209854305736409</v>
      </c>
      <c r="AG9" s="140">
        <f>IFERROR(_xlfn.XLOOKUP($D9,'Modelling New'!$D:$D,'Modelling New'!$AE:$AE),"")</f>
        <v>0.96029999999999993</v>
      </c>
      <c r="AH9" s="140">
        <f>IFERROR(_xlfn.XLOOKUP($D9,'Modelling New'!$D:$D,'Modelling New'!$AF:$AF),"")</f>
        <v>0.995</v>
      </c>
      <c r="AI9" s="121">
        <f>IFERROR(_xlfn.XLOOKUP($A9,Input_Raw!$A:$A,Input_Raw!$DE:$DE),"")</f>
        <v>77.212000000000003</v>
      </c>
      <c r="AJ9" s="121"/>
      <c r="AK9" s="121"/>
      <c r="AL9" s="121"/>
      <c r="AM9" s="121"/>
      <c r="AN9" s="142">
        <f>IFERROR(_xlfn.XLOOKUP($A9,Input_Raw!$A:$A,Input_Raw!$DB:$DB),"")</f>
        <v>6.8541083991473961E-2</v>
      </c>
      <c r="AO9" s="140">
        <f>IFERROR((_xlfn.XLOOKUP($A9,'WTG Reactive Power'!$A:$A,'WTG Reactive Power'!$AR:$AR))/X9/1000,"")</f>
        <v>9.4278173551987944E-4</v>
      </c>
      <c r="AP9" s="140">
        <f>IFERROR(_xlfn.XLOOKUP($D9,'Modelling New'!$D:$D,'Modelling New'!$AK:$AK),"")</f>
        <v>0.05</v>
      </c>
      <c r="AQ9" s="140">
        <f>IFERROR(_xlfn.XLOOKUP($D9,'Modelling New'!$D:$D,'Modelling New'!$AL:$AL),"")</f>
        <v>0.05</v>
      </c>
      <c r="AR9">
        <f>IFERROR(_xlfn.XLOOKUP($D9,'Modelling New'!$D:$D,'Modelling New'!$N:$N),"")</f>
        <v>78</v>
      </c>
    </row>
    <row r="10" spans="1:45">
      <c r="A10" s="134">
        <f t="shared" si="3"/>
        <v>45753</v>
      </c>
      <c r="B10" s="123">
        <f>YEAR(Table13[[#This Row],[Date]])+IF(MONTH(Table13[[#This Row],[Date]])&gt;=4,1,0)</f>
        <v>2026</v>
      </c>
      <c r="C10" s="121">
        <f>YEAR(Table13[[#This Row],[Date]])</f>
        <v>2025</v>
      </c>
      <c r="D10" s="135">
        <f>Table13[[#This Row],[Date]]-DAY(Table13[[#This Row],[Date]])+1</f>
        <v>45748</v>
      </c>
      <c r="E10" s="121">
        <f t="shared" si="0"/>
        <v>30</v>
      </c>
      <c r="F10" s="124"/>
      <c r="G10" s="125"/>
      <c r="H10" s="125"/>
      <c r="I10" s="125"/>
      <c r="J10" s="125"/>
      <c r="K10" s="136"/>
      <c r="L10" s="125"/>
      <c r="M10" s="125">
        <f>IFERROR(_xlfn.XLOOKUP($A10,Input_Raw!$A:$A,Input_Raw!CG:CG),"")</f>
        <v>3.3879487179487193</v>
      </c>
      <c r="N10" s="125">
        <f>IFERROR(_xlfn.XLOOKUP($A10,Input_Raw!$A:$A,Input_Raw!CH:CH),"")</f>
        <v>0</v>
      </c>
      <c r="O10" s="137">
        <f t="shared" si="1"/>
        <v>0.91343384344381273</v>
      </c>
      <c r="P10" s="137">
        <f>IFERROR(1-SUMIF(WTG_BD!$F:$F,$A10,WTG_BD!$AA:$AA)/($AA10+SUMIF(WTG_BD!$F:$F,$A10,WTG_BD!$AA:$AA)),"")</f>
        <v>0.91343384344381273</v>
      </c>
      <c r="Q10" s="138">
        <f>IFERROR(1-SUMIF(IGA_BD!$F:$F,$A10,IGA_BD!$V:$V)/($AA10+SUMIF(IGA_BD!$F:$F,$A10,IGA_BD!$V:$V)),"")</f>
        <v>1</v>
      </c>
      <c r="R10" s="143">
        <f>IFERROR(1-SUMIF(Grid_BD!$F:$F,$A10,Grid_BD!$X:$X)/($AA10+SUMIF(Grid_BD!$F:$F,$A10,Grid_BD!$X:$X)),"")</f>
        <v>1</v>
      </c>
      <c r="S10" s="121"/>
      <c r="T10" s="138"/>
      <c r="U10" s="139"/>
      <c r="V10" s="121"/>
      <c r="W10" s="140">
        <f>IFERROR(Table13[[#This Row],[Mtr_Net_Exp (KWh)]]/(24*AR10*1000),"")</f>
        <v>5.3846153846153849E-2</v>
      </c>
      <c r="X10" s="121">
        <f>IFERROR(_xlfn.XLOOKUP($A10,Input_Raw!$A:$A,Input_Raw!$CF:$CF),"")</f>
        <v>111449</v>
      </c>
      <c r="Y10" s="121">
        <f>IFERROR(_xlfn.XLOOKUP($A10,Input_Raw!$A:$A,Input_Raw!$CZ:$CZ),"")</f>
        <v>104400</v>
      </c>
      <c r="Z10" s="121">
        <f>IFERROR(_xlfn.XLOOKUP($A10,Input_Raw!$A:$A,Input_Raw!$DA:$DA),"")</f>
        <v>3600</v>
      </c>
      <c r="AA10" s="123">
        <f t="shared" si="2"/>
        <v>100800</v>
      </c>
      <c r="AB10" s="121">
        <f>IFERROR(_xlfn.XLOOKUP($A10,Input_Raw!$A:$A,Input_Raw!$DG:$DG),"")</f>
        <v>78</v>
      </c>
      <c r="AC10" s="141">
        <f>IFERROR(_xlfn.XLOOKUP($D10,'Modelling New'!$D:$D,'Modelling New'!$J:$J),"")</f>
        <v>5.6333333333333329</v>
      </c>
      <c r="AD10" s="123">
        <f>IFERROR(_xlfn.XLOOKUP($D10,'Modelling New'!$D:$D,'Modelling New'!$T:$T)*1000,"")</f>
        <v>340888.47260338557</v>
      </c>
      <c r="AE10" s="140"/>
      <c r="AF10" s="140">
        <f>IFERROR(_xlfn.XLOOKUP($D10,'Modelling New'!$D:$D,'Modelling New'!$W:$W),"")</f>
        <v>0.18209854305736409</v>
      </c>
      <c r="AG10" s="140">
        <f>IFERROR(_xlfn.XLOOKUP($D10,'Modelling New'!$D:$D,'Modelling New'!$AE:$AE),"")</f>
        <v>0.96029999999999993</v>
      </c>
      <c r="AH10" s="140">
        <f>IFERROR(_xlfn.XLOOKUP($D10,'Modelling New'!$D:$D,'Modelling New'!$AF:$AF),"")</f>
        <v>0.995</v>
      </c>
      <c r="AI10" s="121">
        <f>IFERROR(_xlfn.XLOOKUP($A10,Input_Raw!$A:$A,Input_Raw!$DE:$DE),"")</f>
        <v>106.01900000000001</v>
      </c>
      <c r="AJ10" s="121"/>
      <c r="AK10" s="121"/>
      <c r="AL10" s="121"/>
      <c r="AM10" s="121"/>
      <c r="AN10" s="142">
        <f>IFERROR(_xlfn.XLOOKUP($A10,Input_Raw!$A:$A,Input_Raw!$DB:$DB),"")</f>
        <v>6.3248660822438962E-2</v>
      </c>
      <c r="AO10" s="140">
        <f>IFERROR((_xlfn.XLOOKUP($A10,'WTG Reactive Power'!$A:$A,'WTG Reactive Power'!$AR:$AR))/X10/1000,"")</f>
        <v>3.9601172045808689E-4</v>
      </c>
      <c r="AP10" s="140">
        <f>IFERROR(_xlfn.XLOOKUP($D10,'Modelling New'!$D:$D,'Modelling New'!$AK:$AK),"")</f>
        <v>0.05</v>
      </c>
      <c r="AQ10" s="140">
        <f>IFERROR(_xlfn.XLOOKUP($D10,'Modelling New'!$D:$D,'Modelling New'!$AL:$AL),"")</f>
        <v>0.05</v>
      </c>
      <c r="AR10">
        <f>IFERROR(_xlfn.XLOOKUP($D10,'Modelling New'!$D:$D,'Modelling New'!$N:$N),"")</f>
        <v>78</v>
      </c>
    </row>
    <row r="11" spans="1:45">
      <c r="A11" s="134">
        <f t="shared" si="3"/>
        <v>45754</v>
      </c>
      <c r="B11" s="123">
        <f>YEAR(Table13[[#This Row],[Date]])+IF(MONTH(Table13[[#This Row],[Date]])&gt;=4,1,0)</f>
        <v>2026</v>
      </c>
      <c r="C11" s="121">
        <f>YEAR(Table13[[#This Row],[Date]])</f>
        <v>2025</v>
      </c>
      <c r="D11" s="135">
        <f>Table13[[#This Row],[Date]]-DAY(Table13[[#This Row],[Date]])+1</f>
        <v>45748</v>
      </c>
      <c r="E11" s="121">
        <f t="shared" si="0"/>
        <v>30</v>
      </c>
      <c r="F11" s="124"/>
      <c r="G11" s="125"/>
      <c r="H11" s="125"/>
      <c r="I11" s="125"/>
      <c r="J11" s="125"/>
      <c r="K11" s="136"/>
      <c r="L11" s="125"/>
      <c r="M11" s="125">
        <f>IFERROR(_xlfn.XLOOKUP($A11,Input_Raw!$A:$A,Input_Raw!CG:CG),"")</f>
        <v>4.1233333333333331</v>
      </c>
      <c r="N11" s="125">
        <f>IFERROR(_xlfn.XLOOKUP($A11,Input_Raw!$A:$A,Input_Raw!CH:CH),"")</f>
        <v>0</v>
      </c>
      <c r="O11" s="137">
        <f t="shared" si="1"/>
        <v>0.87012463786860128</v>
      </c>
      <c r="P11" s="137">
        <f>IFERROR(1-SUMIF(WTG_BD!$F:$F,$A11,WTG_BD!$AA:$AA)/($AA11+SUMIF(WTG_BD!$F:$F,$A11,WTG_BD!$AA:$AA)),"")</f>
        <v>0.9046571407682602</v>
      </c>
      <c r="Q11" s="138">
        <f>IFERROR(1-SUMIF(IGA_BD!$F:$F,$A11,IGA_BD!$V:$V)/($AA11+SUMIF(IGA_BD!$F:$F,$A11,IGA_BD!$V:$V)),"")</f>
        <v>0.96182807680008697</v>
      </c>
      <c r="R11" s="143">
        <f>IFERROR(1-SUMIF(Grid_BD!$F:$F,$A11,Grid_BD!$X:$X)/($AA11+SUMIF(Grid_BD!$F:$F,$A11,Grid_BD!$X:$X)),"")</f>
        <v>1</v>
      </c>
      <c r="S11" s="121"/>
      <c r="T11" s="138"/>
      <c r="U11" s="139"/>
      <c r="V11" s="121"/>
      <c r="W11" s="140">
        <f>IFERROR(Table13[[#This Row],[Mtr_Net_Exp (KWh)]]/(24*AR11*1000),"")</f>
        <v>0.11730769230769231</v>
      </c>
      <c r="X11" s="121">
        <f>IFERROR(_xlfn.XLOOKUP($A11,Input_Raw!$A:$A,Input_Raw!$CF:$CF),"")</f>
        <v>236100</v>
      </c>
      <c r="Y11" s="121">
        <f>IFERROR(_xlfn.XLOOKUP($A11,Input_Raw!$A:$A,Input_Raw!$CZ:$CZ),"")</f>
        <v>222000</v>
      </c>
      <c r="Z11" s="121">
        <f>IFERROR(_xlfn.XLOOKUP($A11,Input_Raw!$A:$A,Input_Raw!$DA:$DA),"")</f>
        <v>2400</v>
      </c>
      <c r="AA11" s="123">
        <f t="shared" si="2"/>
        <v>219600</v>
      </c>
      <c r="AB11" s="121">
        <f>IFERROR(_xlfn.XLOOKUP($A11,Input_Raw!$A:$A,Input_Raw!$DG:$DG),"")</f>
        <v>78</v>
      </c>
      <c r="AC11" s="141">
        <f>IFERROR(_xlfn.XLOOKUP($D11,'Modelling New'!$D:$D,'Modelling New'!$J:$J),"")</f>
        <v>5.6333333333333329</v>
      </c>
      <c r="AD11" s="123">
        <f>IFERROR(_xlfn.XLOOKUP($D11,'Modelling New'!$D:$D,'Modelling New'!$T:$T)*1000,"")</f>
        <v>340888.47260338557</v>
      </c>
      <c r="AE11" s="140"/>
      <c r="AF11" s="140">
        <f>IFERROR(_xlfn.XLOOKUP($D11,'Modelling New'!$D:$D,'Modelling New'!$W:$W),"")</f>
        <v>0.18209854305736409</v>
      </c>
      <c r="AG11" s="140">
        <f>IFERROR(_xlfn.XLOOKUP($D11,'Modelling New'!$D:$D,'Modelling New'!$AE:$AE),"")</f>
        <v>0.96029999999999993</v>
      </c>
      <c r="AH11" s="140">
        <f>IFERROR(_xlfn.XLOOKUP($D11,'Modelling New'!$D:$D,'Modelling New'!$AF:$AF),"")</f>
        <v>0.995</v>
      </c>
      <c r="AI11" s="121">
        <f>IFERROR(_xlfn.XLOOKUP($A11,Input_Raw!$A:$A,Input_Raw!$DE:$DE),"")</f>
        <v>238.17599999999999</v>
      </c>
      <c r="AJ11" s="121"/>
      <c r="AK11" s="121"/>
      <c r="AL11" s="121"/>
      <c r="AM11" s="121"/>
      <c r="AN11" s="142">
        <f>IFERROR(_xlfn.XLOOKUP($A11,Input_Raw!$A:$A,Input_Raw!$DB:$DB),"")</f>
        <v>5.9720457433291019E-2</v>
      </c>
      <c r="AO11" s="140">
        <f>IFERROR((_xlfn.XLOOKUP($A11,'WTG Reactive Power'!$A:$A,'WTG Reactive Power'!$AR:$AR))/X11/1000,"")</f>
        <v>1.324060207539178E-4</v>
      </c>
      <c r="AP11" s="140">
        <f>IFERROR(_xlfn.XLOOKUP($D11,'Modelling New'!$D:$D,'Modelling New'!$AK:$AK),"")</f>
        <v>0.05</v>
      </c>
      <c r="AQ11" s="140">
        <f>IFERROR(_xlfn.XLOOKUP($D11,'Modelling New'!$D:$D,'Modelling New'!$AL:$AL),"")</f>
        <v>0.05</v>
      </c>
      <c r="AR11">
        <f>IFERROR(_xlfn.XLOOKUP($D11,'Modelling New'!$D:$D,'Modelling New'!$N:$N),"")</f>
        <v>78</v>
      </c>
    </row>
    <row r="12" spans="1:45">
      <c r="A12" s="134">
        <f t="shared" si="3"/>
        <v>45755</v>
      </c>
      <c r="B12" s="123">
        <f>YEAR(Table13[[#This Row],[Date]])+IF(MONTH(Table13[[#This Row],[Date]])&gt;=4,1,0)</f>
        <v>2026</v>
      </c>
      <c r="C12" s="121">
        <f>YEAR(Table13[[#This Row],[Date]])</f>
        <v>2025</v>
      </c>
      <c r="D12" s="135">
        <f>Table13[[#This Row],[Date]]-DAY(Table13[[#This Row],[Date]])+1</f>
        <v>45748</v>
      </c>
      <c r="E12" s="121">
        <f t="shared" si="0"/>
        <v>30</v>
      </c>
      <c r="F12" s="124"/>
      <c r="G12" s="125"/>
      <c r="H12" s="125"/>
      <c r="I12" s="125"/>
      <c r="J12" s="125"/>
      <c r="K12" s="136"/>
      <c r="L12" s="125"/>
      <c r="M12" s="125">
        <f>IFERROR(_xlfn.XLOOKUP($A12,Input_Raw!$A:$A,Input_Raw!CG:CG),"")</f>
        <v>3.4951282051282053</v>
      </c>
      <c r="N12" s="125">
        <f>IFERROR(_xlfn.XLOOKUP($A12,Input_Raw!$A:$A,Input_Raw!CH:CH),"")</f>
        <v>0</v>
      </c>
      <c r="O12" s="137">
        <f t="shared" si="1"/>
        <v>0.92263967613779985</v>
      </c>
      <c r="P12" s="137">
        <f>IFERROR(1-SUMIF(WTG_BD!$F:$F,$A12,WTG_BD!$AA:$AA)/($AA12+SUMIF(WTG_BD!$F:$F,$A12,WTG_BD!$AA:$AA)),"")</f>
        <v>0.92263967613779985</v>
      </c>
      <c r="Q12" s="138">
        <f>IFERROR(1-SUMIF(IGA_BD!$F:$F,$A12,IGA_BD!$V:$V)/($AA12+SUMIF(IGA_BD!$F:$F,$A12,IGA_BD!$V:$V)),"")</f>
        <v>1</v>
      </c>
      <c r="R12" s="143">
        <f>IFERROR(1-SUMIF(Grid_BD!$F:$F,$A12,Grid_BD!$X:$X)/($AA12+SUMIF(Grid_BD!$F:$F,$A12,Grid_BD!$X:$X)),"")</f>
        <v>1</v>
      </c>
      <c r="S12" s="121"/>
      <c r="T12" s="138"/>
      <c r="U12" s="139"/>
      <c r="V12" s="121"/>
      <c r="W12" s="140">
        <f>IFERROR(Table13[[#This Row],[Mtr_Net_Exp (KWh)]]/(24*AR12*1000),"")</f>
        <v>7.7564102564102566E-2</v>
      </c>
      <c r="X12" s="121">
        <f>IFERROR(_xlfn.XLOOKUP($A12,Input_Raw!$A:$A,Input_Raw!$CF:$CF),"")</f>
        <v>151284</v>
      </c>
      <c r="Y12" s="121">
        <f>IFERROR(_xlfn.XLOOKUP($A12,Input_Raw!$A:$A,Input_Raw!$CZ:$CZ),"")</f>
        <v>150000</v>
      </c>
      <c r="Z12" s="121">
        <f>IFERROR(_xlfn.XLOOKUP($A12,Input_Raw!$A:$A,Input_Raw!$DA:$DA),"")</f>
        <v>4800</v>
      </c>
      <c r="AA12" s="123">
        <f t="shared" si="2"/>
        <v>145200</v>
      </c>
      <c r="AB12" s="121">
        <f>IFERROR(_xlfn.XLOOKUP($A12,Input_Raw!$A:$A,Input_Raw!$DG:$DG),"")</f>
        <v>78</v>
      </c>
      <c r="AC12" s="141">
        <f>IFERROR(_xlfn.XLOOKUP($D12,'Modelling New'!$D:$D,'Modelling New'!$J:$J),"")</f>
        <v>5.6333333333333329</v>
      </c>
      <c r="AD12" s="123">
        <f>IFERROR(_xlfn.XLOOKUP($D12,'Modelling New'!$D:$D,'Modelling New'!$T:$T)*1000,"")</f>
        <v>340888.47260338557</v>
      </c>
      <c r="AE12" s="140"/>
      <c r="AF12" s="140">
        <f>IFERROR(_xlfn.XLOOKUP($D12,'Modelling New'!$D:$D,'Modelling New'!$W:$W),"")</f>
        <v>0.18209854305736409</v>
      </c>
      <c r="AG12" s="140">
        <f>IFERROR(_xlfn.XLOOKUP($D12,'Modelling New'!$D:$D,'Modelling New'!$AE:$AE),"")</f>
        <v>0.96029999999999993</v>
      </c>
      <c r="AH12" s="140">
        <f>IFERROR(_xlfn.XLOOKUP($D12,'Modelling New'!$D:$D,'Modelling New'!$AF:$AF),"")</f>
        <v>0.995</v>
      </c>
      <c r="AI12" s="121">
        <f>IFERROR(_xlfn.XLOOKUP($A12,Input_Raw!$A:$A,Input_Raw!$DE:$DE),"")</f>
        <v>149.33000000000001</v>
      </c>
      <c r="AJ12" s="121"/>
      <c r="AK12" s="121"/>
      <c r="AL12" s="121"/>
      <c r="AM12" s="121"/>
      <c r="AN12" s="142">
        <f>IFERROR(_xlfn.XLOOKUP($A12,Input_Raw!$A:$A,Input_Raw!$DB:$DB),"")</f>
        <v>8.4873482985642346E-3</v>
      </c>
      <c r="AO12" s="140">
        <f>IFERROR((_xlfn.XLOOKUP($A12,'WTG Reactive Power'!$A:$A,'WTG Reactive Power'!$AR:$AR))/X12/1000,"")</f>
        <v>2.6192165628883429E-4</v>
      </c>
      <c r="AP12" s="140">
        <f>IFERROR(_xlfn.XLOOKUP($D12,'Modelling New'!$D:$D,'Modelling New'!$AK:$AK),"")</f>
        <v>0.05</v>
      </c>
      <c r="AQ12" s="140">
        <f>IFERROR(_xlfn.XLOOKUP($D12,'Modelling New'!$D:$D,'Modelling New'!$AL:$AL),"")</f>
        <v>0.05</v>
      </c>
      <c r="AR12">
        <f>IFERROR(_xlfn.XLOOKUP($D12,'Modelling New'!$D:$D,'Modelling New'!$N:$N),"")</f>
        <v>78</v>
      </c>
    </row>
    <row r="13" spans="1:45">
      <c r="A13" s="134">
        <f t="shared" si="3"/>
        <v>45756</v>
      </c>
      <c r="B13" s="123">
        <f>YEAR(Table13[[#This Row],[Date]])+IF(MONTH(Table13[[#This Row],[Date]])&gt;=4,1,0)</f>
        <v>2026</v>
      </c>
      <c r="C13" s="121">
        <f>YEAR(Table13[[#This Row],[Date]])</f>
        <v>2025</v>
      </c>
      <c r="D13" s="135">
        <f>Table13[[#This Row],[Date]]-DAY(Table13[[#This Row],[Date]])+1</f>
        <v>45748</v>
      </c>
      <c r="E13" s="121">
        <f t="shared" si="0"/>
        <v>30</v>
      </c>
      <c r="F13" s="124"/>
      <c r="G13" s="125"/>
      <c r="H13" s="125"/>
      <c r="I13" s="125"/>
      <c r="J13" s="125"/>
      <c r="K13" s="136"/>
      <c r="L13" s="125"/>
      <c r="M13" s="125">
        <f>IFERROR(_xlfn.XLOOKUP($A13,Input_Raw!$A:$A,Input_Raw!CG:CG),"")</f>
        <v>4.8151282051282047</v>
      </c>
      <c r="N13" s="125">
        <f>IFERROR(_xlfn.XLOOKUP($A13,Input_Raw!$A:$A,Input_Raw!CH:CH),"")</f>
        <v>0</v>
      </c>
      <c r="O13" s="137">
        <f t="shared" si="1"/>
        <v>0.8935197389681363</v>
      </c>
      <c r="P13" s="137">
        <f>IFERROR(1-SUMIF(WTG_BD!$F:$F,$A13,WTG_BD!$AA:$AA)/($AA13+SUMIF(WTG_BD!$F:$F,$A13,WTG_BD!$AA:$AA)),"")</f>
        <v>0.8935197389681363</v>
      </c>
      <c r="Q13" s="138">
        <f>IFERROR(1-SUMIF(IGA_BD!$F:$F,$A13,IGA_BD!$V:$V)/($AA13+SUMIF(IGA_BD!$F:$F,$A13,IGA_BD!$V:$V)),"")</f>
        <v>1</v>
      </c>
      <c r="R13" s="143">
        <f>IFERROR(1-SUMIF(Grid_BD!$F:$F,$A13,Grid_BD!$X:$X)/($AA13+SUMIF(Grid_BD!$F:$F,$A13,Grid_BD!$X:$X)),"")</f>
        <v>1</v>
      </c>
      <c r="S13" s="121"/>
      <c r="T13" s="138"/>
      <c r="U13" s="139"/>
      <c r="V13" s="121"/>
      <c r="W13" s="140">
        <f>IFERROR(Table13[[#This Row],[Mtr_Net_Exp (KWh)]]/(24*AR13*1000),"")</f>
        <v>0.16346153846153846</v>
      </c>
      <c r="X13" s="121">
        <f>IFERROR(_xlfn.XLOOKUP($A13,Input_Raw!$A:$A,Input_Raw!$CF:$CF),"")</f>
        <v>327786</v>
      </c>
      <c r="Y13" s="121">
        <f>IFERROR(_xlfn.XLOOKUP($A13,Input_Raw!$A:$A,Input_Raw!$CZ:$CZ),"")</f>
        <v>308400</v>
      </c>
      <c r="Z13" s="121">
        <f>IFERROR(_xlfn.XLOOKUP($A13,Input_Raw!$A:$A,Input_Raw!$DA:$DA),"")</f>
        <v>2400</v>
      </c>
      <c r="AA13" s="123">
        <f t="shared" si="2"/>
        <v>306000</v>
      </c>
      <c r="AB13" s="121">
        <f>IFERROR(_xlfn.XLOOKUP($A13,Input_Raw!$A:$A,Input_Raw!$DG:$DG),"")</f>
        <v>78</v>
      </c>
      <c r="AC13" s="141">
        <f>IFERROR(_xlfn.XLOOKUP($D13,'Modelling New'!$D:$D,'Modelling New'!$J:$J),"")</f>
        <v>5.6333333333333329</v>
      </c>
      <c r="AD13" s="123">
        <f>IFERROR(_xlfn.XLOOKUP($D13,'Modelling New'!$D:$D,'Modelling New'!$T:$T)*1000,"")</f>
        <v>340888.47260338557</v>
      </c>
      <c r="AE13" s="140"/>
      <c r="AF13" s="140">
        <f>IFERROR(_xlfn.XLOOKUP($D13,'Modelling New'!$D:$D,'Modelling New'!$W:$W),"")</f>
        <v>0.18209854305736409</v>
      </c>
      <c r="AG13" s="140">
        <f>IFERROR(_xlfn.XLOOKUP($D13,'Modelling New'!$D:$D,'Modelling New'!$AE:$AE),"")</f>
        <v>0.96029999999999993</v>
      </c>
      <c r="AH13" s="140">
        <f>IFERROR(_xlfn.XLOOKUP($D13,'Modelling New'!$D:$D,'Modelling New'!$AF:$AF),"")</f>
        <v>0.995</v>
      </c>
      <c r="AI13" s="121">
        <f>IFERROR(_xlfn.XLOOKUP($A13,Input_Raw!$A:$A,Input_Raw!$DE:$DE),"")</f>
        <v>327.512</v>
      </c>
      <c r="AJ13" s="121"/>
      <c r="AK13" s="121"/>
      <c r="AL13" s="121"/>
      <c r="AM13" s="121"/>
      <c r="AN13" s="142">
        <f>IFERROR(_xlfn.XLOOKUP($A13,Input_Raw!$A:$A,Input_Raw!$DB:$DB),"")</f>
        <v>5.9142245245373481E-2</v>
      </c>
      <c r="AO13" s="140">
        <f>IFERROR((_xlfn.XLOOKUP($A13,'WTG Reactive Power'!$A:$A,'WTG Reactive Power'!$AR:$AR))/X13/1000,"")</f>
        <v>1.298790179670069E-4</v>
      </c>
      <c r="AP13" s="140">
        <f>IFERROR(_xlfn.XLOOKUP($D13,'Modelling New'!$D:$D,'Modelling New'!$AK:$AK),"")</f>
        <v>0.05</v>
      </c>
      <c r="AQ13" s="140">
        <f>IFERROR(_xlfn.XLOOKUP($D13,'Modelling New'!$D:$D,'Modelling New'!$AL:$AL),"")</f>
        <v>0.05</v>
      </c>
      <c r="AR13">
        <f>IFERROR(_xlfn.XLOOKUP($D13,'Modelling New'!$D:$D,'Modelling New'!$N:$N),"")</f>
        <v>78</v>
      </c>
    </row>
    <row r="14" spans="1:45">
      <c r="A14" s="134">
        <f t="shared" si="3"/>
        <v>45757</v>
      </c>
      <c r="B14" s="123">
        <f>YEAR(Table13[[#This Row],[Date]])+IF(MONTH(Table13[[#This Row],[Date]])&gt;=4,1,0)</f>
        <v>2026</v>
      </c>
      <c r="C14" s="121">
        <f>YEAR(Table13[[#This Row],[Date]])</f>
        <v>2025</v>
      </c>
      <c r="D14" s="135">
        <f>Table13[[#This Row],[Date]]-DAY(Table13[[#This Row],[Date]])+1</f>
        <v>45748</v>
      </c>
      <c r="E14" s="121">
        <f t="shared" si="0"/>
        <v>30</v>
      </c>
      <c r="F14" s="124"/>
      <c r="G14" s="125"/>
      <c r="H14" s="125"/>
      <c r="I14" s="125"/>
      <c r="J14" s="125"/>
      <c r="K14" s="136"/>
      <c r="L14" s="125"/>
      <c r="M14" s="125">
        <f>IFERROR(_xlfn.XLOOKUP($A14,Input_Raw!$A:$A,Input_Raw!CG:CG),"")</f>
        <v>5.5674358974358968</v>
      </c>
      <c r="N14" s="125">
        <f>IFERROR(_xlfn.XLOOKUP($A14,Input_Raw!$A:$A,Input_Raw!CH:CH),"")</f>
        <v>0</v>
      </c>
      <c r="O14" s="137">
        <f t="shared" si="1"/>
        <v>0.94529692461520531</v>
      </c>
      <c r="P14" s="137">
        <f>IFERROR(1-SUMIF(WTG_BD!$F:$F,$A14,WTG_BD!$AA:$AA)/($AA14+SUMIF(WTG_BD!$F:$F,$A14,WTG_BD!$AA:$AA)),"")</f>
        <v>0.94529692461520531</v>
      </c>
      <c r="Q14" s="138">
        <f>IFERROR(1-SUMIF(IGA_BD!$F:$F,$A14,IGA_BD!$V:$V)/($AA14+SUMIF(IGA_BD!$F:$F,$A14,IGA_BD!$V:$V)),"")</f>
        <v>1</v>
      </c>
      <c r="R14" s="143">
        <f>IFERROR(1-SUMIF(Grid_BD!$F:$F,$A14,Grid_BD!$X:$X)/($AA14+SUMIF(Grid_BD!$F:$F,$A14,Grid_BD!$X:$X)),"")</f>
        <v>1</v>
      </c>
      <c r="S14" s="121"/>
      <c r="T14" s="138"/>
      <c r="U14" s="139"/>
      <c r="V14" s="121"/>
      <c r="W14" s="140">
        <f>IFERROR(Table13[[#This Row],[Mtr_Net_Exp (KWh)]]/(24*AR14*1000),"")</f>
        <v>0.27307692307692305</v>
      </c>
      <c r="X14" s="121">
        <f>IFERROR(_xlfn.XLOOKUP($A14,Input_Raw!$A:$A,Input_Raw!$CF:$CF),"")</f>
        <v>519730</v>
      </c>
      <c r="Y14" s="121">
        <f>IFERROR(_xlfn.XLOOKUP($A14,Input_Raw!$A:$A,Input_Raw!$CZ:$CZ),"")</f>
        <v>513600</v>
      </c>
      <c r="Z14" s="121">
        <f>IFERROR(_xlfn.XLOOKUP($A14,Input_Raw!$A:$A,Input_Raw!$DA:$DA),"")</f>
        <v>2400</v>
      </c>
      <c r="AA14" s="123">
        <f t="shared" si="2"/>
        <v>511200</v>
      </c>
      <c r="AB14" s="121">
        <f>IFERROR(_xlfn.XLOOKUP($A14,Input_Raw!$A:$A,Input_Raw!$DG:$DG),"")</f>
        <v>78</v>
      </c>
      <c r="AC14" s="141">
        <f>IFERROR(_xlfn.XLOOKUP($D14,'Modelling New'!$D:$D,'Modelling New'!$J:$J),"")</f>
        <v>5.6333333333333329</v>
      </c>
      <c r="AD14" s="123">
        <f>IFERROR(_xlfn.XLOOKUP($D14,'Modelling New'!$D:$D,'Modelling New'!$T:$T)*1000,"")</f>
        <v>340888.47260338557</v>
      </c>
      <c r="AE14" s="140"/>
      <c r="AF14" s="140">
        <f>IFERROR(_xlfn.XLOOKUP($D14,'Modelling New'!$D:$D,'Modelling New'!$W:$W),"")</f>
        <v>0.18209854305736409</v>
      </c>
      <c r="AG14" s="140">
        <f>IFERROR(_xlfn.XLOOKUP($D14,'Modelling New'!$D:$D,'Modelling New'!$AE:$AE),"")</f>
        <v>0.96029999999999993</v>
      </c>
      <c r="AH14" s="140">
        <f>IFERROR(_xlfn.XLOOKUP($D14,'Modelling New'!$D:$D,'Modelling New'!$AF:$AF),"")</f>
        <v>0.995</v>
      </c>
      <c r="AI14" s="121">
        <f>IFERROR(_xlfn.XLOOKUP($A14,Input_Raw!$A:$A,Input_Raw!$DE:$DE),"")</f>
        <v>511</v>
      </c>
      <c r="AJ14" s="121"/>
      <c r="AK14" s="121"/>
      <c r="AL14" s="121"/>
      <c r="AM14" s="121"/>
      <c r="AN14" s="142">
        <f>IFERROR(_xlfn.XLOOKUP($A14,Input_Raw!$A:$A,Input_Raw!$DB:$DB),"")</f>
        <v>1.1794585650241496E-2</v>
      </c>
      <c r="AO14" s="140">
        <f>IFERROR((_xlfn.XLOOKUP($A14,'WTG Reactive Power'!$A:$A,'WTG Reactive Power'!$AR:$AR))/X14/1000,"")</f>
        <v>8.9257883901256427E-6</v>
      </c>
      <c r="AP14" s="140">
        <f>IFERROR(_xlfn.XLOOKUP($D14,'Modelling New'!$D:$D,'Modelling New'!$AK:$AK),"")</f>
        <v>0.05</v>
      </c>
      <c r="AQ14" s="140">
        <f>IFERROR(_xlfn.XLOOKUP($D14,'Modelling New'!$D:$D,'Modelling New'!$AL:$AL),"")</f>
        <v>0.05</v>
      </c>
      <c r="AR14">
        <f>IFERROR(_xlfn.XLOOKUP($D14,'Modelling New'!$D:$D,'Modelling New'!$N:$N),"")</f>
        <v>78</v>
      </c>
    </row>
    <row r="15" spans="1:45">
      <c r="A15" s="134">
        <f t="shared" si="3"/>
        <v>45758</v>
      </c>
      <c r="B15" s="123">
        <f>YEAR(Table13[[#This Row],[Date]])+IF(MONTH(Table13[[#This Row],[Date]])&gt;=4,1,0)</f>
        <v>2026</v>
      </c>
      <c r="C15" s="121">
        <f>YEAR(Table13[[#This Row],[Date]])</f>
        <v>2025</v>
      </c>
      <c r="D15" s="135">
        <f>Table13[[#This Row],[Date]]-DAY(Table13[[#This Row],[Date]])+1</f>
        <v>45748</v>
      </c>
      <c r="E15" s="121">
        <f t="shared" si="0"/>
        <v>30</v>
      </c>
      <c r="F15" s="124"/>
      <c r="G15" s="125"/>
      <c r="H15" s="125"/>
      <c r="I15" s="125"/>
      <c r="J15" s="125"/>
      <c r="K15" s="136"/>
      <c r="L15" s="125"/>
      <c r="M15" s="125">
        <f>IFERROR(_xlfn.XLOOKUP($A15,Input_Raw!$A:$A,Input_Raw!CG:CG),"")</f>
        <v>5.5761538461538445</v>
      </c>
      <c r="N15" s="125">
        <f>IFERROR(_xlfn.XLOOKUP($A15,Input_Raw!$A:$A,Input_Raw!CH:CH),"")</f>
        <v>0</v>
      </c>
      <c r="O15" s="137">
        <f t="shared" si="1"/>
        <v>0.94227750508764418</v>
      </c>
      <c r="P15" s="137">
        <f>IFERROR(1-SUMIF(WTG_BD!$F:$F,$A15,WTG_BD!$AA:$AA)/($AA15+SUMIF(WTG_BD!$F:$F,$A15,WTG_BD!$AA:$AA)),"")</f>
        <v>0.94227750508764418</v>
      </c>
      <c r="Q15" s="138">
        <f>IFERROR(1-SUMIF(IGA_BD!$F:$F,$A15,IGA_BD!$V:$V)/($AA15+SUMIF(IGA_BD!$F:$F,$A15,IGA_BD!$V:$V)),"")</f>
        <v>1</v>
      </c>
      <c r="R15" s="143">
        <f>IFERROR(1-SUMIF(Grid_BD!$F:$F,$A15,Grid_BD!$X:$X)/($AA15+SUMIF(Grid_BD!$F:$F,$A15,Grid_BD!$X:$X)),"")</f>
        <v>1</v>
      </c>
      <c r="S15" s="121"/>
      <c r="T15" s="138"/>
      <c r="U15" s="139"/>
      <c r="V15" s="121"/>
      <c r="W15" s="140">
        <f>IFERROR(Table13[[#This Row],[Mtr_Net_Exp (KWh)]]/(24*AR15*1000),"")</f>
        <v>0.27307692307692305</v>
      </c>
      <c r="X15" s="121">
        <f>IFERROR(_xlfn.XLOOKUP($A15,Input_Raw!$A:$A,Input_Raw!$CF:$CF),"")</f>
        <v>514588</v>
      </c>
      <c r="Y15" s="121">
        <f>IFERROR(_xlfn.XLOOKUP($A15,Input_Raw!$A:$A,Input_Raw!$CZ:$CZ),"")</f>
        <v>511200</v>
      </c>
      <c r="Z15" s="121">
        <f>IFERROR(_xlfn.XLOOKUP($A15,Input_Raw!$A:$A,Input_Raw!$DA:$DA),"")</f>
        <v>0</v>
      </c>
      <c r="AA15" s="123">
        <f t="shared" si="2"/>
        <v>511200</v>
      </c>
      <c r="AB15" s="121">
        <f>IFERROR(_xlfn.XLOOKUP($A15,Input_Raw!$A:$A,Input_Raw!$DG:$DG),"")</f>
        <v>78</v>
      </c>
      <c r="AC15" s="141">
        <f>IFERROR(_xlfn.XLOOKUP($D15,'Modelling New'!$D:$D,'Modelling New'!$J:$J),"")</f>
        <v>5.6333333333333329</v>
      </c>
      <c r="AD15" s="123">
        <f>IFERROR(_xlfn.XLOOKUP($D15,'Modelling New'!$D:$D,'Modelling New'!$T:$T)*1000,"")</f>
        <v>340888.47260338557</v>
      </c>
      <c r="AE15" s="140"/>
      <c r="AF15" s="140">
        <f>IFERROR(_xlfn.XLOOKUP($D15,'Modelling New'!$D:$D,'Modelling New'!$W:$W),"")</f>
        <v>0.18209854305736409</v>
      </c>
      <c r="AG15" s="140">
        <f>IFERROR(_xlfn.XLOOKUP($D15,'Modelling New'!$D:$D,'Modelling New'!$AE:$AE),"")</f>
        <v>0.96029999999999993</v>
      </c>
      <c r="AH15" s="140">
        <f>IFERROR(_xlfn.XLOOKUP($D15,'Modelling New'!$D:$D,'Modelling New'!$AF:$AF),"")</f>
        <v>0.995</v>
      </c>
      <c r="AI15" s="121">
        <f>IFERROR(_xlfn.XLOOKUP($A15,Input_Raw!$A:$A,Input_Raw!$DE:$DE),"")</f>
        <v>514</v>
      </c>
      <c r="AJ15" s="121"/>
      <c r="AK15" s="121"/>
      <c r="AL15" s="121"/>
      <c r="AM15" s="121"/>
      <c r="AN15" s="142">
        <f>IFERROR(_xlfn.XLOOKUP($A15,Input_Raw!$A:$A,Input_Raw!$DB:$DB),"")</f>
        <v>6.5839079030214354E-3</v>
      </c>
      <c r="AO15" s="140">
        <f>IFERROR((_xlfn.XLOOKUP($A15,'WTG Reactive Power'!$A:$A,'WTG Reactive Power'!$AR:$AR))/X15/1000,"")</f>
        <v>0</v>
      </c>
      <c r="AP15" s="140">
        <f>IFERROR(_xlfn.XLOOKUP($D15,'Modelling New'!$D:$D,'Modelling New'!$AK:$AK),"")</f>
        <v>0.05</v>
      </c>
      <c r="AQ15" s="140">
        <f>IFERROR(_xlfn.XLOOKUP($D15,'Modelling New'!$D:$D,'Modelling New'!$AL:$AL),"")</f>
        <v>0.05</v>
      </c>
      <c r="AR15">
        <f>IFERROR(_xlfn.XLOOKUP($D15,'Modelling New'!$D:$D,'Modelling New'!$N:$N),"")</f>
        <v>78</v>
      </c>
    </row>
    <row r="16" spans="1:45">
      <c r="A16" s="134">
        <f t="shared" si="3"/>
        <v>45759</v>
      </c>
      <c r="B16" s="123">
        <f>YEAR(Table13[[#This Row],[Date]])+IF(MONTH(Table13[[#This Row],[Date]])&gt;=4,1,0)</f>
        <v>2026</v>
      </c>
      <c r="C16" s="121">
        <f>YEAR(Table13[[#This Row],[Date]])</f>
        <v>2025</v>
      </c>
      <c r="D16" s="135">
        <f>Table13[[#This Row],[Date]]-DAY(Table13[[#This Row],[Date]])+1</f>
        <v>45748</v>
      </c>
      <c r="E16" s="121">
        <f t="shared" si="0"/>
        <v>30</v>
      </c>
      <c r="F16" s="124"/>
      <c r="G16" s="125"/>
      <c r="H16" s="125"/>
      <c r="I16" s="125"/>
      <c r="J16" s="125"/>
      <c r="K16" s="136"/>
      <c r="L16" s="125"/>
      <c r="M16" s="125">
        <f>IFERROR(_xlfn.XLOOKUP($A16,Input_Raw!$A:$A,Input_Raw!CG:CG),"")</f>
        <v>5.4376923076923074</v>
      </c>
      <c r="N16" s="125">
        <f>IFERROR(_xlfn.XLOOKUP($A16,Input_Raw!$A:$A,Input_Raw!CH:CH),"")</f>
        <v>0</v>
      </c>
      <c r="O16" s="137">
        <f t="shared" si="1"/>
        <v>0.94025891978443088</v>
      </c>
      <c r="P16" s="137">
        <f>IFERROR(1-SUMIF(WTG_BD!$F:$F,$A16,WTG_BD!$AA:$AA)/($AA16+SUMIF(WTG_BD!$F:$F,$A16,WTG_BD!$AA:$AA)),"")</f>
        <v>0.94025891978443088</v>
      </c>
      <c r="Q16" s="138">
        <f>IFERROR(1-SUMIF(IGA_BD!$F:$F,$A16,IGA_BD!$V:$V)/($AA16+SUMIF(IGA_BD!$F:$F,$A16,IGA_BD!$V:$V)),"")</f>
        <v>1</v>
      </c>
      <c r="R16" s="143">
        <f>IFERROR(1-SUMIF(Grid_BD!$F:$F,$A16,Grid_BD!$X:$X)/($AA16+SUMIF(Grid_BD!$F:$F,$A16,Grid_BD!$X:$X)),"")</f>
        <v>1</v>
      </c>
      <c r="S16" s="121"/>
      <c r="T16" s="138"/>
      <c r="U16" s="139"/>
      <c r="V16" s="121"/>
      <c r="W16" s="140">
        <f>IFERROR(Table13[[#This Row],[Mtr_Net_Exp (KWh)]]/(24*AR16*1000),"")</f>
        <v>0.24807692307692308</v>
      </c>
      <c r="X16" s="121">
        <f>IFERROR(_xlfn.XLOOKUP($A16,Input_Raw!$A:$A,Input_Raw!$CF:$CF),"")</f>
        <v>469515</v>
      </c>
      <c r="Y16" s="121">
        <f>IFERROR(_xlfn.XLOOKUP($A16,Input_Raw!$A:$A,Input_Raw!$CZ:$CZ),"")</f>
        <v>465600</v>
      </c>
      <c r="Z16" s="121">
        <f>IFERROR(_xlfn.XLOOKUP($A16,Input_Raw!$A:$A,Input_Raw!$DA:$DA),"")</f>
        <v>1200</v>
      </c>
      <c r="AA16" s="123">
        <f t="shared" si="2"/>
        <v>464400</v>
      </c>
      <c r="AB16" s="121">
        <f>IFERROR(_xlfn.XLOOKUP($A16,Input_Raw!$A:$A,Input_Raw!$DG:$DG),"")</f>
        <v>78</v>
      </c>
      <c r="AC16" s="141">
        <f>IFERROR(_xlfn.XLOOKUP($D16,'Modelling New'!$D:$D,'Modelling New'!$J:$J),"")</f>
        <v>5.6333333333333329</v>
      </c>
      <c r="AD16" s="123">
        <f>IFERROR(_xlfn.XLOOKUP($D16,'Modelling New'!$D:$D,'Modelling New'!$T:$T)*1000,"")</f>
        <v>340888.47260338557</v>
      </c>
      <c r="AE16" s="140"/>
      <c r="AF16" s="140">
        <f>IFERROR(_xlfn.XLOOKUP($D16,'Modelling New'!$D:$D,'Modelling New'!$W:$W),"")</f>
        <v>0.18209854305736409</v>
      </c>
      <c r="AG16" s="140">
        <f>IFERROR(_xlfn.XLOOKUP($D16,'Modelling New'!$D:$D,'Modelling New'!$AE:$AE),"")</f>
        <v>0.96029999999999993</v>
      </c>
      <c r="AH16" s="140">
        <f>IFERROR(_xlfn.XLOOKUP($D16,'Modelling New'!$D:$D,'Modelling New'!$AF:$AF),"")</f>
        <v>0.995</v>
      </c>
      <c r="AI16" s="121">
        <f>IFERROR(_xlfn.XLOOKUP($A16,Input_Raw!$A:$A,Input_Raw!$DE:$DE),"")</f>
        <v>469.51</v>
      </c>
      <c r="AJ16" s="121"/>
      <c r="AK16" s="121"/>
      <c r="AL16" s="121"/>
      <c r="AM16" s="121"/>
      <c r="AN16" s="142">
        <f>IFERROR(_xlfn.XLOOKUP($A16,Input_Raw!$A:$A,Input_Raw!$DB:$DB),"")</f>
        <v>8.3383917446726574E-3</v>
      </c>
      <c r="AO16" s="140">
        <f>IFERROR((_xlfn.XLOOKUP($A16,'WTG Reactive Power'!$A:$A,'WTG Reactive Power'!$AR:$AR))/X16/1000,"")</f>
        <v>7.8016676783489344E-6</v>
      </c>
      <c r="AP16" s="140">
        <f>IFERROR(_xlfn.XLOOKUP($D16,'Modelling New'!$D:$D,'Modelling New'!$AK:$AK),"")</f>
        <v>0.05</v>
      </c>
      <c r="AQ16" s="140">
        <f>IFERROR(_xlfn.XLOOKUP($D16,'Modelling New'!$D:$D,'Modelling New'!$AL:$AL),"")</f>
        <v>0.05</v>
      </c>
      <c r="AR16">
        <f>IFERROR(_xlfn.XLOOKUP($D16,'Modelling New'!$D:$D,'Modelling New'!$N:$N),"")</f>
        <v>78</v>
      </c>
    </row>
    <row r="17" spans="1:44">
      <c r="A17" s="134">
        <f t="shared" si="3"/>
        <v>45760</v>
      </c>
      <c r="B17" s="123">
        <f>YEAR(Table13[[#This Row],[Date]])+IF(MONTH(Table13[[#This Row],[Date]])&gt;=4,1,0)</f>
        <v>2026</v>
      </c>
      <c r="C17" s="121">
        <f>YEAR(Table13[[#This Row],[Date]])</f>
        <v>2025</v>
      </c>
      <c r="D17" s="135">
        <f>Table13[[#This Row],[Date]]-DAY(Table13[[#This Row],[Date]])+1</f>
        <v>45748</v>
      </c>
      <c r="E17" s="121">
        <f t="shared" si="0"/>
        <v>30</v>
      </c>
      <c r="F17" s="124"/>
      <c r="G17" s="125"/>
      <c r="H17" s="125"/>
      <c r="I17" s="125"/>
      <c r="J17" s="125"/>
      <c r="K17" s="136"/>
      <c r="L17" s="125"/>
      <c r="M17" s="125">
        <f>IFERROR(_xlfn.XLOOKUP($A17,Input_Raw!$A:$A,Input_Raw!CG:CG),"")</f>
        <v>4.8151282051282047</v>
      </c>
      <c r="N17" s="125">
        <f>IFERROR(_xlfn.XLOOKUP($A17,Input_Raw!$A:$A,Input_Raw!CH:CH),"")</f>
        <v>0</v>
      </c>
      <c r="O17" s="137">
        <f t="shared" si="1"/>
        <v>0.94726332883375941</v>
      </c>
      <c r="P17" s="137">
        <f>IFERROR(1-SUMIF(WTG_BD!$F:$F,$A17,WTG_BD!$AA:$AA)/($AA17+SUMIF(WTG_BD!$F:$F,$A17,WTG_BD!$AA:$AA)),"")</f>
        <v>0.94726332883375941</v>
      </c>
      <c r="Q17" s="138">
        <f>IFERROR(1-SUMIF(IGA_BD!$F:$F,$A17,IGA_BD!$V:$V)/($AA17+SUMIF(IGA_BD!$F:$F,$A17,IGA_BD!$V:$V)),"")</f>
        <v>1</v>
      </c>
      <c r="R17" s="143">
        <f>IFERROR(1-SUMIF(Grid_BD!$F:$F,$A17,Grid_BD!$X:$X)/($AA17+SUMIF(Grid_BD!$F:$F,$A17,Grid_BD!$X:$X)),"")</f>
        <v>1</v>
      </c>
      <c r="S17" s="121"/>
      <c r="T17" s="138"/>
      <c r="U17" s="139"/>
      <c r="V17" s="121"/>
      <c r="W17" s="140">
        <f>IFERROR(Table13[[#This Row],[Mtr_Net_Exp (KWh)]]/(24*AR17*1000),"")</f>
        <v>0.17628205128205129</v>
      </c>
      <c r="X17" s="121">
        <f>IFERROR(_xlfn.XLOOKUP($A17,Input_Raw!$A:$A,Input_Raw!$CF:$CF),"")</f>
        <v>333663</v>
      </c>
      <c r="Y17" s="121">
        <f>IFERROR(_xlfn.XLOOKUP($A17,Input_Raw!$A:$A,Input_Raw!$CZ:$CZ),"")</f>
        <v>331200</v>
      </c>
      <c r="Z17" s="121">
        <f>IFERROR(_xlfn.XLOOKUP($A17,Input_Raw!$A:$A,Input_Raw!$DA:$DA),"")</f>
        <v>1200</v>
      </c>
      <c r="AA17" s="123">
        <f t="shared" si="2"/>
        <v>330000</v>
      </c>
      <c r="AB17" s="121">
        <f>IFERROR(_xlfn.XLOOKUP($A17,Input_Raw!$A:$A,Input_Raw!$DG:$DG),"")</f>
        <v>78</v>
      </c>
      <c r="AC17" s="141">
        <f>IFERROR(_xlfn.XLOOKUP($D17,'Modelling New'!$D:$D,'Modelling New'!$J:$J),"")</f>
        <v>5.6333333333333329</v>
      </c>
      <c r="AD17" s="123">
        <f>IFERROR(_xlfn.XLOOKUP($D17,'Modelling New'!$D:$D,'Modelling New'!$T:$T)*1000,"")</f>
        <v>340888.47260338557</v>
      </c>
      <c r="AE17" s="140"/>
      <c r="AF17" s="140">
        <f>IFERROR(_xlfn.XLOOKUP($D17,'Modelling New'!$D:$D,'Modelling New'!$W:$W),"")</f>
        <v>0.18209854305736409</v>
      </c>
      <c r="AG17" s="140">
        <f>IFERROR(_xlfn.XLOOKUP($D17,'Modelling New'!$D:$D,'Modelling New'!$AE:$AE),"")</f>
        <v>0.96029999999999993</v>
      </c>
      <c r="AH17" s="140">
        <f>IFERROR(_xlfn.XLOOKUP($D17,'Modelling New'!$D:$D,'Modelling New'!$AF:$AF),"")</f>
        <v>0.995</v>
      </c>
      <c r="AI17" s="121">
        <f>IFERROR(_xlfn.XLOOKUP($A17,Input_Raw!$A:$A,Input_Raw!$DE:$DE),"")</f>
        <v>333.66</v>
      </c>
      <c r="AJ17" s="121"/>
      <c r="AK17" s="121"/>
      <c r="AL17" s="121"/>
      <c r="AM17" s="121"/>
      <c r="AN17" s="142">
        <f>IFERROR(_xlfn.XLOOKUP($A17,Input_Raw!$A:$A,Input_Raw!$DB:$DB),"")</f>
        <v>7.3816994991953155E-3</v>
      </c>
      <c r="AO17" s="140">
        <f>IFERROR((_xlfn.XLOOKUP($A17,'WTG Reactive Power'!$A:$A,'WTG Reactive Power'!$AR:$AR))/X17/1000,"")</f>
        <v>1.4304852500876633E-5</v>
      </c>
      <c r="AP17" s="140">
        <f>IFERROR(_xlfn.XLOOKUP($D17,'Modelling New'!$D:$D,'Modelling New'!$AK:$AK),"")</f>
        <v>0.05</v>
      </c>
      <c r="AQ17" s="140">
        <f>IFERROR(_xlfn.XLOOKUP($D17,'Modelling New'!$D:$D,'Modelling New'!$AL:$AL),"")</f>
        <v>0.05</v>
      </c>
      <c r="AR17">
        <f>IFERROR(_xlfn.XLOOKUP($D17,'Modelling New'!$D:$D,'Modelling New'!$N:$N),"")</f>
        <v>78</v>
      </c>
    </row>
    <row r="18" spans="1:44">
      <c r="A18" s="134">
        <f t="shared" si="3"/>
        <v>45761</v>
      </c>
      <c r="B18" s="123">
        <f>YEAR(Table13[[#This Row],[Date]])+IF(MONTH(Table13[[#This Row],[Date]])&gt;=4,1,0)</f>
        <v>2026</v>
      </c>
      <c r="C18" s="121">
        <f>YEAR(Table13[[#This Row],[Date]])</f>
        <v>2025</v>
      </c>
      <c r="D18" s="135">
        <f>Table13[[#This Row],[Date]]-DAY(Table13[[#This Row],[Date]])+1</f>
        <v>45748</v>
      </c>
      <c r="E18" s="121">
        <f t="shared" si="0"/>
        <v>30</v>
      </c>
      <c r="F18" s="124"/>
      <c r="G18" s="125"/>
      <c r="H18" s="125"/>
      <c r="I18" s="125"/>
      <c r="J18" s="125"/>
      <c r="K18" s="136"/>
      <c r="L18" s="125"/>
      <c r="M18" s="125">
        <f>IFERROR(_xlfn.XLOOKUP($A18,Input_Raw!$A:$A,Input_Raw!CG:CG),"")</f>
        <v>6.7597435897435894</v>
      </c>
      <c r="N18" s="125">
        <f>IFERROR(_xlfn.XLOOKUP($A18,Input_Raw!$A:$A,Input_Raw!CH:CH),"")</f>
        <v>0</v>
      </c>
      <c r="O18" s="137">
        <f t="shared" si="1"/>
        <v>0.94675948932826615</v>
      </c>
      <c r="P18" s="137">
        <f>IFERROR(1-SUMIF(WTG_BD!$F:$F,$A18,WTG_BD!$AA:$AA)/($AA18+SUMIF(WTG_BD!$F:$F,$A18,WTG_BD!$AA:$AA)),"")</f>
        <v>0.94675948932826615</v>
      </c>
      <c r="Q18" s="138">
        <f>IFERROR(1-SUMIF(IGA_BD!$F:$F,$A18,IGA_BD!$V:$V)/($AA18+SUMIF(IGA_BD!$F:$F,$A18,IGA_BD!$V:$V)),"")</f>
        <v>1</v>
      </c>
      <c r="R18" s="143">
        <f>IFERROR(1-SUMIF(Grid_BD!$F:$F,$A18,Grid_BD!$X:$X)/($AA18+SUMIF(Grid_BD!$F:$F,$A18,Grid_BD!$X:$X)),"")</f>
        <v>1</v>
      </c>
      <c r="S18" s="121"/>
      <c r="T18" s="138"/>
      <c r="U18" s="139"/>
      <c r="V18" s="121"/>
      <c r="W18" s="140">
        <f>IFERROR(Table13[[#This Row],[Mtr_Net_Exp (KWh)]]/(24*AR18*1000),"")</f>
        <v>0.31923076923076921</v>
      </c>
      <c r="X18" s="121">
        <f>IFERROR(_xlfn.XLOOKUP($A18,Input_Raw!$A:$A,Input_Raw!$CF:$CF),"")</f>
        <v>601869</v>
      </c>
      <c r="Y18" s="121">
        <f>IFERROR(_xlfn.XLOOKUP($A18,Input_Raw!$A:$A,Input_Raw!$CZ:$CZ),"")</f>
        <v>598800</v>
      </c>
      <c r="Z18" s="121">
        <f>IFERROR(_xlfn.XLOOKUP($A18,Input_Raw!$A:$A,Input_Raw!$DA:$DA),"")</f>
        <v>1200</v>
      </c>
      <c r="AA18" s="123">
        <f t="shared" si="2"/>
        <v>597600</v>
      </c>
      <c r="AB18" s="121">
        <f>IFERROR(_xlfn.XLOOKUP($A18,Input_Raw!$A:$A,Input_Raw!$DG:$DG),"")</f>
        <v>78</v>
      </c>
      <c r="AC18" s="141">
        <f>IFERROR(_xlfn.XLOOKUP($D18,'Modelling New'!$D:$D,'Modelling New'!$J:$J),"")</f>
        <v>5.6333333333333329</v>
      </c>
      <c r="AD18" s="123">
        <f>IFERROR(_xlfn.XLOOKUP($D18,'Modelling New'!$D:$D,'Modelling New'!$T:$T)*1000,"")</f>
        <v>340888.47260338557</v>
      </c>
      <c r="AE18" s="140"/>
      <c r="AF18" s="140">
        <f>IFERROR(_xlfn.XLOOKUP($D18,'Modelling New'!$D:$D,'Modelling New'!$W:$W),"")</f>
        <v>0.18209854305736409</v>
      </c>
      <c r="AG18" s="140">
        <f>IFERROR(_xlfn.XLOOKUP($D18,'Modelling New'!$D:$D,'Modelling New'!$AE:$AE),"")</f>
        <v>0.96029999999999993</v>
      </c>
      <c r="AH18" s="140">
        <f>IFERROR(_xlfn.XLOOKUP($D18,'Modelling New'!$D:$D,'Modelling New'!$AF:$AF),"")</f>
        <v>0.995</v>
      </c>
      <c r="AI18" s="121">
        <f>IFERROR(_xlfn.XLOOKUP($A18,Input_Raw!$A:$A,Input_Raw!$DE:$DE),"")</f>
        <v>601.86900000000003</v>
      </c>
      <c r="AJ18" s="121"/>
      <c r="AK18" s="121"/>
      <c r="AL18" s="121"/>
      <c r="AM18" s="121"/>
      <c r="AN18" s="142">
        <f>IFERROR(_xlfn.XLOOKUP($A18,Input_Raw!$A:$A,Input_Raw!$DB:$DB),"")</f>
        <v>5.0991162528722933E-3</v>
      </c>
      <c r="AO18" s="140">
        <f>IFERROR((_xlfn.XLOOKUP($A18,'WTG Reactive Power'!$A:$A,'WTG Reactive Power'!$AR:$AR))/X18/1000,"")</f>
        <v>7.9302971244573151E-6</v>
      </c>
      <c r="AP18" s="140">
        <f>IFERROR(_xlfn.XLOOKUP($D18,'Modelling New'!$D:$D,'Modelling New'!$AK:$AK),"")</f>
        <v>0.05</v>
      </c>
      <c r="AQ18" s="140">
        <f>IFERROR(_xlfn.XLOOKUP($D18,'Modelling New'!$D:$D,'Modelling New'!$AL:$AL),"")</f>
        <v>0.05</v>
      </c>
      <c r="AR18">
        <f>IFERROR(_xlfn.XLOOKUP($D18,'Modelling New'!$D:$D,'Modelling New'!$N:$N),"")</f>
        <v>78</v>
      </c>
    </row>
    <row r="19" spans="1:44">
      <c r="A19" s="134">
        <f t="shared" si="3"/>
        <v>45762</v>
      </c>
      <c r="B19" s="123">
        <f>YEAR(Table13[[#This Row],[Date]])+IF(MONTH(Table13[[#This Row],[Date]])&gt;=4,1,0)</f>
        <v>2026</v>
      </c>
      <c r="C19" s="121">
        <f>YEAR(Table13[[#This Row],[Date]])</f>
        <v>2025</v>
      </c>
      <c r="D19" s="135">
        <f>Table13[[#This Row],[Date]]-DAY(Table13[[#This Row],[Date]])+1</f>
        <v>45748</v>
      </c>
      <c r="E19" s="121">
        <f t="shared" si="0"/>
        <v>30</v>
      </c>
      <c r="F19" s="124"/>
      <c r="G19" s="125"/>
      <c r="H19" s="125"/>
      <c r="I19" s="125"/>
      <c r="J19" s="125"/>
      <c r="K19" s="136"/>
      <c r="L19" s="125"/>
      <c r="M19" s="125">
        <f>IFERROR(_xlfn.XLOOKUP($A19,Input_Raw!$A:$A,Input_Raw!CG:CG),"")</f>
        <v>5.9428205128205125</v>
      </c>
      <c r="N19" s="125">
        <f>IFERROR(_xlfn.XLOOKUP($A19,Input_Raw!$A:$A,Input_Raw!CH:CH),"")</f>
        <v>0</v>
      </c>
      <c r="O19" s="137">
        <f t="shared" si="1"/>
        <v>0.93748485228023004</v>
      </c>
      <c r="P19" s="137">
        <f>IFERROR(1-SUMIF(WTG_BD!$F:$F,$A19,WTG_BD!$AA:$AA)/($AA19+SUMIF(WTG_BD!$F:$F,$A19,WTG_BD!$AA:$AA)),"")</f>
        <v>0.93748485228023004</v>
      </c>
      <c r="Q19" s="138">
        <f>IFERROR(1-SUMIF(IGA_BD!$F:$F,$A19,IGA_BD!$V:$V)/($AA19+SUMIF(IGA_BD!$F:$F,$A19,IGA_BD!$V:$V)),"")</f>
        <v>1</v>
      </c>
      <c r="R19" s="143">
        <f>IFERROR(1-SUMIF(Grid_BD!$F:$F,$A19,Grid_BD!$X:$X)/($AA19+SUMIF(Grid_BD!$F:$F,$A19,Grid_BD!$X:$X)),"")</f>
        <v>1</v>
      </c>
      <c r="S19" s="121"/>
      <c r="T19" s="138"/>
      <c r="U19" s="139"/>
      <c r="V19" s="121"/>
      <c r="W19" s="140">
        <f>IFERROR(Table13[[#This Row],[Mtr_Net_Exp (KWh)]]/(24*AR19*1000),"")</f>
        <v>0.27948717948717949</v>
      </c>
      <c r="X19" s="121">
        <f>IFERROR(_xlfn.XLOOKUP($A19,Input_Raw!$A:$A,Input_Raw!$CF:$CF),"")</f>
        <v>530337</v>
      </c>
      <c r="Y19" s="121">
        <f>IFERROR(_xlfn.XLOOKUP($A19,Input_Raw!$A:$A,Input_Raw!$CZ:$CZ),"")</f>
        <v>526800</v>
      </c>
      <c r="Z19" s="121">
        <f>IFERROR(_xlfn.XLOOKUP($A19,Input_Raw!$A:$A,Input_Raw!$DA:$DA),"")</f>
        <v>3600</v>
      </c>
      <c r="AA19" s="123">
        <f t="shared" si="2"/>
        <v>523200</v>
      </c>
      <c r="AB19" s="121">
        <f>IFERROR(_xlfn.XLOOKUP($A19,Input_Raw!$A:$A,Input_Raw!$DG:$DG),"")</f>
        <v>78</v>
      </c>
      <c r="AC19" s="141">
        <f>IFERROR(_xlfn.XLOOKUP($D19,'Modelling New'!$D:$D,'Modelling New'!$J:$J),"")</f>
        <v>5.6333333333333329</v>
      </c>
      <c r="AD19" s="123">
        <f>IFERROR(_xlfn.XLOOKUP($D19,'Modelling New'!$D:$D,'Modelling New'!$T:$T)*1000,"")</f>
        <v>340888.47260338557</v>
      </c>
      <c r="AE19" s="140"/>
      <c r="AF19" s="140">
        <f>IFERROR(_xlfn.XLOOKUP($D19,'Modelling New'!$D:$D,'Modelling New'!$W:$W),"")</f>
        <v>0.18209854305736409</v>
      </c>
      <c r="AG19" s="140">
        <f>IFERROR(_xlfn.XLOOKUP($D19,'Modelling New'!$D:$D,'Modelling New'!$AE:$AE),"")</f>
        <v>0.96029999999999993</v>
      </c>
      <c r="AH19" s="140">
        <f>IFERROR(_xlfn.XLOOKUP($D19,'Modelling New'!$D:$D,'Modelling New'!$AF:$AF),"")</f>
        <v>0.995</v>
      </c>
      <c r="AI19" s="121">
        <f>IFERROR(_xlfn.XLOOKUP($A19,Input_Raw!$A:$A,Input_Raw!$DE:$DE),"")</f>
        <v>530.33699999999999</v>
      </c>
      <c r="AJ19" s="121"/>
      <c r="AK19" s="121"/>
      <c r="AL19" s="121"/>
      <c r="AM19" s="121"/>
      <c r="AN19" s="142">
        <f>IFERROR(_xlfn.XLOOKUP($A19,Input_Raw!$A:$A,Input_Raw!$DB:$DB),"")</f>
        <v>6.6693442094366562E-3</v>
      </c>
      <c r="AO19" s="140">
        <f>IFERROR((_xlfn.XLOOKUP($A19,'WTG Reactive Power'!$A:$A,'WTG Reactive Power'!$AR:$AR))/X19/1000,"")</f>
        <v>8.9999377754145018E-6</v>
      </c>
      <c r="AP19" s="140">
        <f>IFERROR(_xlfn.XLOOKUP($D19,'Modelling New'!$D:$D,'Modelling New'!$AK:$AK),"")</f>
        <v>0.05</v>
      </c>
      <c r="AQ19" s="140">
        <f>IFERROR(_xlfn.XLOOKUP($D19,'Modelling New'!$D:$D,'Modelling New'!$AL:$AL),"")</f>
        <v>0.05</v>
      </c>
      <c r="AR19">
        <f>IFERROR(_xlfn.XLOOKUP($D19,'Modelling New'!$D:$D,'Modelling New'!$N:$N),"")</f>
        <v>78</v>
      </c>
    </row>
    <row r="20" spans="1:44">
      <c r="A20" s="134">
        <f t="shared" si="3"/>
        <v>45763</v>
      </c>
      <c r="B20" s="123">
        <f>YEAR(Table13[[#This Row],[Date]])+IF(MONTH(Table13[[#This Row],[Date]])&gt;=4,1,0)</f>
        <v>2026</v>
      </c>
      <c r="C20" s="121">
        <f>YEAR(Table13[[#This Row],[Date]])</f>
        <v>2025</v>
      </c>
      <c r="D20" s="135">
        <f>Table13[[#This Row],[Date]]-DAY(Table13[[#This Row],[Date]])+1</f>
        <v>45748</v>
      </c>
      <c r="E20" s="121">
        <f t="shared" si="0"/>
        <v>30</v>
      </c>
      <c r="F20" s="124"/>
      <c r="G20" s="125"/>
      <c r="H20" s="125"/>
      <c r="I20" s="125"/>
      <c r="J20" s="125"/>
      <c r="K20" s="136"/>
      <c r="L20" s="125"/>
      <c r="M20" s="125">
        <f>IFERROR(_xlfn.XLOOKUP($A20,Input_Raw!$A:$A,Input_Raw!CG:CG),"")</f>
        <v>5.5674358974358968</v>
      </c>
      <c r="N20" s="125">
        <f>IFERROR(_xlfn.XLOOKUP($A20,Input_Raw!$A:$A,Input_Raw!CH:CH),"")</f>
        <v>0</v>
      </c>
      <c r="O20" s="137">
        <f t="shared" si="1"/>
        <v>0.94300973238477903</v>
      </c>
      <c r="P20" s="137">
        <f>IFERROR(1-SUMIF(WTG_BD!$F:$F,$A20,WTG_BD!$AA:$AA)/($AA20+SUMIF(WTG_BD!$F:$F,$A20,WTG_BD!$AA:$AA)),"")</f>
        <v>0.94300973238477903</v>
      </c>
      <c r="Q20" s="138">
        <f>IFERROR(1-SUMIF(IGA_BD!$F:$F,$A20,IGA_BD!$V:$V)/($AA20+SUMIF(IGA_BD!$F:$F,$A20,IGA_BD!$V:$V)),"")</f>
        <v>1</v>
      </c>
      <c r="R20" s="143">
        <f>IFERROR(1-SUMIF(Grid_BD!$F:$F,$A20,Grid_BD!$X:$X)/($AA20+SUMIF(Grid_BD!$F:$F,$A20,Grid_BD!$X:$X)),"")</f>
        <v>1</v>
      </c>
      <c r="S20" s="121"/>
      <c r="T20" s="138"/>
      <c r="U20" s="139"/>
      <c r="V20" s="121"/>
      <c r="W20" s="140">
        <f>IFERROR(Table13[[#This Row],[Mtr_Net_Exp (KWh)]]/(24*AR20*1000),"")</f>
        <v>0.29423076923076924</v>
      </c>
      <c r="X20" s="121">
        <f>IFERROR(_xlfn.XLOOKUP($A20,Input_Raw!$A:$A,Input_Raw!$CF:$CF),"")</f>
        <v>552581</v>
      </c>
      <c r="Y20" s="121">
        <f>IFERROR(_xlfn.XLOOKUP($A20,Input_Raw!$A:$A,Input_Raw!$CZ:$CZ),"")</f>
        <v>550800</v>
      </c>
      <c r="Z20" s="121">
        <f>IFERROR(_xlfn.XLOOKUP($A20,Input_Raw!$A:$A,Input_Raw!$DA:$DA),"")</f>
        <v>0</v>
      </c>
      <c r="AA20" s="123">
        <f t="shared" si="2"/>
        <v>550800</v>
      </c>
      <c r="AB20" s="121">
        <f>IFERROR(_xlfn.XLOOKUP($A20,Input_Raw!$A:$A,Input_Raw!$DG:$DG),"")</f>
        <v>78</v>
      </c>
      <c r="AC20" s="141">
        <f>IFERROR(_xlfn.XLOOKUP($D20,'Modelling New'!$D:$D,'Modelling New'!$J:$J),"")</f>
        <v>5.6333333333333329</v>
      </c>
      <c r="AD20" s="123">
        <f>IFERROR(_xlfn.XLOOKUP($D20,'Modelling New'!$D:$D,'Modelling New'!$T:$T)*1000,"")</f>
        <v>340888.47260338557</v>
      </c>
      <c r="AE20" s="140"/>
      <c r="AF20" s="140">
        <f>IFERROR(_xlfn.XLOOKUP($D20,'Modelling New'!$D:$D,'Modelling New'!$W:$W),"")</f>
        <v>0.18209854305736409</v>
      </c>
      <c r="AG20" s="140">
        <f>IFERROR(_xlfn.XLOOKUP($D20,'Modelling New'!$D:$D,'Modelling New'!$AE:$AE),"")</f>
        <v>0.96029999999999993</v>
      </c>
      <c r="AH20" s="140">
        <f>IFERROR(_xlfn.XLOOKUP($D20,'Modelling New'!$D:$D,'Modelling New'!$AF:$AF),"")</f>
        <v>0.995</v>
      </c>
      <c r="AI20" s="121">
        <f>IFERROR(_xlfn.XLOOKUP($A20,Input_Raw!$A:$A,Input_Raw!$DE:$DE),"")</f>
        <v>552.58100000000002</v>
      </c>
      <c r="AJ20" s="121"/>
      <c r="AK20" s="121"/>
      <c r="AL20" s="121"/>
      <c r="AM20" s="121"/>
      <c r="AN20" s="142">
        <f>IFERROR(_xlfn.XLOOKUP($A20,Input_Raw!$A:$A,Input_Raw!$DB:$DB),"")</f>
        <v>3.2230568912069435E-3</v>
      </c>
      <c r="AO20" s="140">
        <f>IFERROR((_xlfn.XLOOKUP($A20,'WTG Reactive Power'!$A:$A,'WTG Reactive Power'!$AR:$AR))/X20/1000,"")</f>
        <v>6.4949753972720738E-6</v>
      </c>
      <c r="AP20" s="140">
        <f>IFERROR(_xlfn.XLOOKUP($D20,'Modelling New'!$D:$D,'Modelling New'!$AK:$AK),"")</f>
        <v>0.05</v>
      </c>
      <c r="AQ20" s="140">
        <f>IFERROR(_xlfn.XLOOKUP($D20,'Modelling New'!$D:$D,'Modelling New'!$AL:$AL),"")</f>
        <v>0.05</v>
      </c>
      <c r="AR20">
        <f>IFERROR(_xlfn.XLOOKUP($D20,'Modelling New'!$D:$D,'Modelling New'!$N:$N),"")</f>
        <v>78</v>
      </c>
    </row>
    <row r="21" spans="1:44">
      <c r="A21" s="134">
        <f t="shared" si="3"/>
        <v>45764</v>
      </c>
      <c r="B21" s="123">
        <f>YEAR(Table13[[#This Row],[Date]])+IF(MONTH(Table13[[#This Row],[Date]])&gt;=4,1,0)</f>
        <v>2026</v>
      </c>
      <c r="C21" s="121">
        <f>YEAR(Table13[[#This Row],[Date]])</f>
        <v>2025</v>
      </c>
      <c r="D21" s="135">
        <f>Table13[[#This Row],[Date]]-DAY(Table13[[#This Row],[Date]])+1</f>
        <v>45748</v>
      </c>
      <c r="E21" s="121">
        <f t="shared" si="0"/>
        <v>30</v>
      </c>
      <c r="F21" s="124"/>
      <c r="G21" s="125"/>
      <c r="H21" s="125"/>
      <c r="I21" s="125"/>
      <c r="J21" s="125"/>
      <c r="K21" s="136"/>
      <c r="L21" s="125"/>
      <c r="M21" s="125">
        <f>IFERROR(_xlfn.XLOOKUP($A21,Input_Raw!$A:$A,Input_Raw!CG:CG),"")</f>
        <v>5.5761538461538445</v>
      </c>
      <c r="N21" s="125">
        <f>IFERROR(_xlfn.XLOOKUP($A21,Input_Raw!$A:$A,Input_Raw!CH:CH),"")</f>
        <v>0</v>
      </c>
      <c r="O21" s="137">
        <f t="shared" si="1"/>
        <v>0.94450453231704179</v>
      </c>
      <c r="P21" s="137">
        <f>IFERROR(1-SUMIF(WTG_BD!$F:$F,$A21,WTG_BD!$AA:$AA)/($AA21+SUMIF(WTG_BD!$F:$F,$A21,WTG_BD!$AA:$AA)),"")</f>
        <v>0.94450453231704179</v>
      </c>
      <c r="Q21" s="138">
        <f>IFERROR(1-SUMIF(IGA_BD!$F:$F,$A21,IGA_BD!$V:$V)/($AA21+SUMIF(IGA_BD!$F:$F,$A21,IGA_BD!$V:$V)),"")</f>
        <v>1</v>
      </c>
      <c r="R21" s="143">
        <f>IFERROR(1-SUMIF(Grid_BD!$F:$F,$A21,Grid_BD!$X:$X)/($AA21+SUMIF(Grid_BD!$F:$F,$A21,Grid_BD!$X:$X)),"")</f>
        <v>1</v>
      </c>
      <c r="S21" s="121"/>
      <c r="T21" s="138"/>
      <c r="U21" s="139"/>
      <c r="V21" s="121"/>
      <c r="W21" s="140">
        <f>IFERROR(Table13[[#This Row],[Mtr_Net_Exp (KWh)]]/(24*AR21*1000),"")</f>
        <v>0.27884615384615385</v>
      </c>
      <c r="X21" s="121">
        <f>IFERROR(_xlfn.XLOOKUP($A21,Input_Raw!$A:$A,Input_Raw!$CF:$CF),"")</f>
        <v>522462</v>
      </c>
      <c r="Y21" s="121">
        <f>IFERROR(_xlfn.XLOOKUP($A21,Input_Raw!$A:$A,Input_Raw!$CZ:$CZ),"")</f>
        <v>522000</v>
      </c>
      <c r="Z21" s="121">
        <f>IFERROR(_xlfn.XLOOKUP($A21,Input_Raw!$A:$A,Input_Raw!$DA:$DA),"")</f>
        <v>0</v>
      </c>
      <c r="AA21" s="123">
        <f t="shared" si="2"/>
        <v>522000</v>
      </c>
      <c r="AB21" s="121">
        <f>IFERROR(_xlfn.XLOOKUP($A21,Input_Raw!$A:$A,Input_Raw!$DG:$DG),"")</f>
        <v>78</v>
      </c>
      <c r="AC21" s="141">
        <f>IFERROR(_xlfn.XLOOKUP($D21,'Modelling New'!$D:$D,'Modelling New'!$J:$J),"")</f>
        <v>5.6333333333333329</v>
      </c>
      <c r="AD21" s="123">
        <f>IFERROR(_xlfn.XLOOKUP($D21,'Modelling New'!$D:$D,'Modelling New'!$T:$T)*1000,"")</f>
        <v>340888.47260338557</v>
      </c>
      <c r="AE21" s="140"/>
      <c r="AF21" s="140">
        <f>IFERROR(_xlfn.XLOOKUP($D21,'Modelling New'!$D:$D,'Modelling New'!$W:$W),"")</f>
        <v>0.18209854305736409</v>
      </c>
      <c r="AG21" s="140">
        <f>IFERROR(_xlfn.XLOOKUP($D21,'Modelling New'!$D:$D,'Modelling New'!$AE:$AE),"")</f>
        <v>0.96029999999999993</v>
      </c>
      <c r="AH21" s="140">
        <f>IFERROR(_xlfn.XLOOKUP($D21,'Modelling New'!$D:$D,'Modelling New'!$AF:$AF),"")</f>
        <v>0.995</v>
      </c>
      <c r="AI21" s="121">
        <f>IFERROR(_xlfn.XLOOKUP($A21,Input_Raw!$A:$A,Input_Raw!$DE:$DE),"")</f>
        <v>522.46199999999999</v>
      </c>
      <c r="AJ21" s="121"/>
      <c r="AK21" s="121"/>
      <c r="AL21" s="121"/>
      <c r="AM21" s="121"/>
      <c r="AN21" s="142">
        <f>IFERROR(_xlfn.XLOOKUP($A21,Input_Raw!$A:$A,Input_Raw!$DB:$DB),"")</f>
        <v>8.8427483721309486E-4</v>
      </c>
      <c r="AO21" s="140">
        <f>IFERROR((_xlfn.XLOOKUP($A21,'WTG Reactive Power'!$A:$A,'WTG Reactive Power'!$AR:$AR))/X21/1000,"")</f>
        <v>6.8693991141939508E-6</v>
      </c>
      <c r="AP21" s="140">
        <f>IFERROR(_xlfn.XLOOKUP($D21,'Modelling New'!$D:$D,'Modelling New'!$AK:$AK),"")</f>
        <v>0.05</v>
      </c>
      <c r="AQ21" s="140">
        <f>IFERROR(_xlfn.XLOOKUP($D21,'Modelling New'!$D:$D,'Modelling New'!$AL:$AL),"")</f>
        <v>0.05</v>
      </c>
      <c r="AR21">
        <f>IFERROR(_xlfn.XLOOKUP($D21,'Modelling New'!$D:$D,'Modelling New'!$N:$N),"")</f>
        <v>78</v>
      </c>
    </row>
    <row r="22" spans="1:44">
      <c r="A22" s="134">
        <f t="shared" si="3"/>
        <v>45765</v>
      </c>
      <c r="B22" s="123">
        <f>YEAR(Table13[[#This Row],[Date]])+IF(MONTH(Table13[[#This Row],[Date]])&gt;=4,1,0)</f>
        <v>2026</v>
      </c>
      <c r="C22" s="121">
        <f>YEAR(Table13[[#This Row],[Date]])</f>
        <v>2025</v>
      </c>
      <c r="D22" s="135">
        <f>Table13[[#This Row],[Date]]-DAY(Table13[[#This Row],[Date]])+1</f>
        <v>45748</v>
      </c>
      <c r="E22" s="121">
        <f t="shared" si="0"/>
        <v>30</v>
      </c>
      <c r="F22" s="124"/>
      <c r="G22" s="125"/>
      <c r="H22" s="125"/>
      <c r="I22" s="125"/>
      <c r="J22" s="125"/>
      <c r="K22" s="136"/>
      <c r="L22" s="125"/>
      <c r="M22" s="125">
        <f>IFERROR(_xlfn.XLOOKUP($A22,Input_Raw!$A:$A,Input_Raw!CG:CG),"")</f>
        <v>4.8151282051282047</v>
      </c>
      <c r="N22" s="125">
        <f>IFERROR(_xlfn.XLOOKUP($A22,Input_Raw!$A:$A,Input_Raw!CH:CH),"")</f>
        <v>0</v>
      </c>
      <c r="O22" s="137">
        <f t="shared" si="1"/>
        <v>0.93842865723042967</v>
      </c>
      <c r="P22" s="137">
        <f>IFERROR(1-SUMIF(WTG_BD!$F:$F,$A22,WTG_BD!$AA:$AA)/($AA22+SUMIF(WTG_BD!$F:$F,$A22,WTG_BD!$AA:$AA)),"")</f>
        <v>0.93842865723042967</v>
      </c>
      <c r="Q22" s="138">
        <f>IFERROR(1-SUMIF(IGA_BD!$F:$F,$A22,IGA_BD!$V:$V)/($AA22+SUMIF(IGA_BD!$F:$F,$A22,IGA_BD!$V:$V)),"")</f>
        <v>1</v>
      </c>
      <c r="R22" s="143">
        <f>IFERROR(1-SUMIF(Grid_BD!$F:$F,$A22,Grid_BD!$X:$X)/($AA22+SUMIF(Grid_BD!$F:$F,$A22,Grid_BD!$X:$X)),"")</f>
        <v>1</v>
      </c>
      <c r="S22" s="121"/>
      <c r="T22" s="138"/>
      <c r="U22" s="139"/>
      <c r="V22" s="121"/>
      <c r="W22" s="140">
        <f>IFERROR(Table13[[#This Row],[Mtr_Net_Exp (KWh)]]/(24*AR22*1000),"")</f>
        <v>0.1685897435897436</v>
      </c>
      <c r="X22" s="121">
        <f>IFERROR(_xlfn.XLOOKUP($A22,Input_Raw!$A:$A,Input_Raw!$CF:$CF),"")</f>
        <v>320599</v>
      </c>
      <c r="Y22" s="121">
        <f>IFERROR(_xlfn.XLOOKUP($A22,Input_Raw!$A:$A,Input_Raw!$CZ:$CZ),"")</f>
        <v>316800</v>
      </c>
      <c r="Z22" s="121">
        <f>IFERROR(_xlfn.XLOOKUP($A22,Input_Raw!$A:$A,Input_Raw!$DA:$DA),"")</f>
        <v>1200</v>
      </c>
      <c r="AA22" s="123">
        <f t="shared" si="2"/>
        <v>315600</v>
      </c>
      <c r="AB22" s="121">
        <f>IFERROR(_xlfn.XLOOKUP($A22,Input_Raw!$A:$A,Input_Raw!$DG:$DG),"")</f>
        <v>78</v>
      </c>
      <c r="AC22" s="141">
        <f>IFERROR(_xlfn.XLOOKUP($D22,'Modelling New'!$D:$D,'Modelling New'!$J:$J),"")</f>
        <v>5.6333333333333329</v>
      </c>
      <c r="AD22" s="123">
        <f>IFERROR(_xlfn.XLOOKUP($D22,'Modelling New'!$D:$D,'Modelling New'!$T:$T)*1000,"")</f>
        <v>340888.47260338557</v>
      </c>
      <c r="AE22" s="140"/>
      <c r="AF22" s="140">
        <f>IFERROR(_xlfn.XLOOKUP($D22,'Modelling New'!$D:$D,'Modelling New'!$W:$W),"")</f>
        <v>0.18209854305736409</v>
      </c>
      <c r="AG22" s="140">
        <f>IFERROR(_xlfn.XLOOKUP($D22,'Modelling New'!$D:$D,'Modelling New'!$AE:$AE),"")</f>
        <v>0.96029999999999993</v>
      </c>
      <c r="AH22" s="140">
        <f>IFERROR(_xlfn.XLOOKUP($D22,'Modelling New'!$D:$D,'Modelling New'!$AF:$AF),"")</f>
        <v>0.995</v>
      </c>
      <c r="AI22" s="121">
        <f>IFERROR(_xlfn.XLOOKUP($A22,Input_Raw!$A:$A,Input_Raw!$DE:$DE),"")</f>
        <v>320.58999999999997</v>
      </c>
      <c r="AJ22" s="121"/>
      <c r="AK22" s="121"/>
      <c r="AL22" s="121"/>
      <c r="AM22" s="121"/>
      <c r="AN22" s="142">
        <f>IFERROR(_xlfn.XLOOKUP($A22,Input_Raw!$A:$A,Input_Raw!$DB:$DB),"")</f>
        <v>1.1849693854316445E-2</v>
      </c>
      <c r="AO22" s="140">
        <f>IFERROR((_xlfn.XLOOKUP($A22,'WTG Reactive Power'!$A:$A,'WTG Reactive Power'!$AR:$AR))/X22/1000,"")</f>
        <v>2.2457961503311007E-5</v>
      </c>
      <c r="AP22" s="140">
        <f>IFERROR(_xlfn.XLOOKUP($D22,'Modelling New'!$D:$D,'Modelling New'!$AK:$AK),"")</f>
        <v>0.05</v>
      </c>
      <c r="AQ22" s="140">
        <f>IFERROR(_xlfn.XLOOKUP($D22,'Modelling New'!$D:$D,'Modelling New'!$AL:$AL),"")</f>
        <v>0.05</v>
      </c>
      <c r="AR22">
        <f>IFERROR(_xlfn.XLOOKUP($D22,'Modelling New'!$D:$D,'Modelling New'!$N:$N),"")</f>
        <v>78</v>
      </c>
    </row>
    <row r="23" spans="1:44">
      <c r="A23" s="134">
        <f t="shared" si="3"/>
        <v>45766</v>
      </c>
      <c r="B23" s="123">
        <f>YEAR(Table13[[#This Row],[Date]])+IF(MONTH(Table13[[#This Row],[Date]])&gt;=4,1,0)</f>
        <v>2026</v>
      </c>
      <c r="C23" s="121">
        <f>YEAR(Table13[[#This Row],[Date]])</f>
        <v>2025</v>
      </c>
      <c r="D23" s="135">
        <f>Table13[[#This Row],[Date]]-DAY(Table13[[#This Row],[Date]])+1</f>
        <v>45748</v>
      </c>
      <c r="E23" s="121">
        <f t="shared" si="0"/>
        <v>30</v>
      </c>
      <c r="F23" s="124"/>
      <c r="G23" s="125"/>
      <c r="H23" s="125"/>
      <c r="I23" s="125"/>
      <c r="J23" s="125"/>
      <c r="K23" s="136"/>
      <c r="L23" s="125"/>
      <c r="M23" s="125">
        <f>IFERROR(_xlfn.XLOOKUP($A23,Input_Raw!$A:$A,Input_Raw!CG:CG),"")</f>
        <v>4.5097435897435885</v>
      </c>
      <c r="N23" s="125">
        <f>IFERROR(_xlfn.XLOOKUP($A23,Input_Raw!$A:$A,Input_Raw!CH:CH),"")</f>
        <v>0</v>
      </c>
      <c r="O23" s="137">
        <f t="shared" si="1"/>
        <v>0.94174271672284748</v>
      </c>
      <c r="P23" s="137">
        <f>IFERROR(1-SUMIF(WTG_BD!$F:$F,$A23,WTG_BD!$AA:$AA)/($AA23+SUMIF(WTG_BD!$F:$F,$A23,WTG_BD!$AA:$AA)),"")</f>
        <v>0.94174271672284748</v>
      </c>
      <c r="Q23" s="138">
        <f>IFERROR(1-SUMIF(IGA_BD!$F:$F,$A23,IGA_BD!$V:$V)/($AA23+SUMIF(IGA_BD!$F:$F,$A23,IGA_BD!$V:$V)),"")</f>
        <v>1</v>
      </c>
      <c r="R23" s="143">
        <f>IFERROR(1-SUMIF(Grid_BD!$F:$F,$A23,Grid_BD!$X:$X)/($AA23+SUMIF(Grid_BD!$F:$F,$A23,Grid_BD!$X:$X)),"")</f>
        <v>1</v>
      </c>
      <c r="S23" s="121"/>
      <c r="T23" s="138"/>
      <c r="U23" s="139"/>
      <c r="V23" s="121"/>
      <c r="W23" s="140">
        <f>IFERROR(Table13[[#This Row],[Mtr_Net_Exp (KWh)]]/(24*AR23*1000),"")</f>
        <v>0.2153846153846154</v>
      </c>
      <c r="X23" s="121">
        <f>IFERROR(_xlfn.XLOOKUP($A23,Input_Raw!$A:$A,Input_Raw!$CF:$CF),"")</f>
        <v>407326</v>
      </c>
      <c r="Y23" s="121">
        <f>IFERROR(_xlfn.XLOOKUP($A23,Input_Raw!$A:$A,Input_Raw!$CZ:$CZ),"")</f>
        <v>405600</v>
      </c>
      <c r="Z23" s="121">
        <f>IFERROR(_xlfn.XLOOKUP($A23,Input_Raw!$A:$A,Input_Raw!$DA:$DA),"")</f>
        <v>2400</v>
      </c>
      <c r="AA23" s="123">
        <f t="shared" si="2"/>
        <v>403200</v>
      </c>
      <c r="AB23" s="121">
        <f>IFERROR(_xlfn.XLOOKUP($A23,Input_Raw!$A:$A,Input_Raw!$DG:$DG),"")</f>
        <v>78</v>
      </c>
      <c r="AC23" s="141">
        <f>IFERROR(_xlfn.XLOOKUP($D23,'Modelling New'!$D:$D,'Modelling New'!$J:$J),"")</f>
        <v>5.6333333333333329</v>
      </c>
      <c r="AD23" s="123">
        <f>IFERROR(_xlfn.XLOOKUP($D23,'Modelling New'!$D:$D,'Modelling New'!$T:$T)*1000,"")</f>
        <v>340888.47260338557</v>
      </c>
      <c r="AE23" s="140"/>
      <c r="AF23" s="140">
        <f>IFERROR(_xlfn.XLOOKUP($D23,'Modelling New'!$D:$D,'Modelling New'!$W:$W),"")</f>
        <v>0.18209854305736409</v>
      </c>
      <c r="AG23" s="140">
        <f>IFERROR(_xlfn.XLOOKUP($D23,'Modelling New'!$D:$D,'Modelling New'!$AE:$AE),"")</f>
        <v>0.96029999999999993</v>
      </c>
      <c r="AH23" s="140">
        <f>IFERROR(_xlfn.XLOOKUP($D23,'Modelling New'!$D:$D,'Modelling New'!$AF:$AF),"")</f>
        <v>0.995</v>
      </c>
      <c r="AI23" s="121">
        <f>IFERROR(_xlfn.XLOOKUP($A23,Input_Raw!$A:$A,Input_Raw!$DE:$DE),"")</f>
        <v>407.32</v>
      </c>
      <c r="AJ23" s="121"/>
      <c r="AK23" s="121"/>
      <c r="AL23" s="121"/>
      <c r="AM23" s="121"/>
      <c r="AN23" s="142">
        <f>IFERROR(_xlfn.XLOOKUP($A23,Input_Raw!$A:$A,Input_Raw!$DB:$DB),"")</f>
        <v>4.2373921625430411E-3</v>
      </c>
      <c r="AO23" s="140">
        <f>IFERROR((_xlfn.XLOOKUP($A23,'WTG Reactive Power'!$A:$A,'WTG Reactive Power'!$AR:$AR))/X23/1000,"")</f>
        <v>0</v>
      </c>
      <c r="AP23" s="140">
        <f>IFERROR(_xlfn.XLOOKUP($D23,'Modelling New'!$D:$D,'Modelling New'!$AK:$AK),"")</f>
        <v>0.05</v>
      </c>
      <c r="AQ23" s="140">
        <f>IFERROR(_xlfn.XLOOKUP($D23,'Modelling New'!$D:$D,'Modelling New'!$AL:$AL),"")</f>
        <v>0.05</v>
      </c>
      <c r="AR23">
        <f>IFERROR(_xlfn.XLOOKUP($D23,'Modelling New'!$D:$D,'Modelling New'!$N:$N),"")</f>
        <v>78</v>
      </c>
    </row>
    <row r="24" spans="1:44">
      <c r="A24" s="134">
        <f t="shared" si="3"/>
        <v>45767</v>
      </c>
      <c r="B24" s="123">
        <f>YEAR(Table13[[#This Row],[Date]])+IF(MONTH(Table13[[#This Row],[Date]])&gt;=4,1,0)</f>
        <v>2026</v>
      </c>
      <c r="C24" s="121">
        <f>YEAR(Table13[[#This Row],[Date]])</f>
        <v>2025</v>
      </c>
      <c r="D24" s="135">
        <f>Table13[[#This Row],[Date]]-DAY(Table13[[#This Row],[Date]])+1</f>
        <v>45748</v>
      </c>
      <c r="E24" s="121">
        <f t="shared" si="0"/>
        <v>30</v>
      </c>
      <c r="F24" s="124"/>
      <c r="G24" s="125"/>
      <c r="H24" s="125"/>
      <c r="I24" s="125"/>
      <c r="J24" s="125"/>
      <c r="K24" s="136"/>
      <c r="L24" s="125"/>
      <c r="M24" s="125">
        <f>IFERROR(_xlfn.XLOOKUP($A24,Input_Raw!$A:$A,Input_Raw!CG:CG),"")</f>
        <v>6.7210256410256397</v>
      </c>
      <c r="N24" s="125">
        <f>IFERROR(_xlfn.XLOOKUP($A24,Input_Raw!$A:$A,Input_Raw!CH:CH),"")</f>
        <v>0</v>
      </c>
      <c r="O24" s="137">
        <f t="shared" si="1"/>
        <v>0.94175509881912511</v>
      </c>
      <c r="P24" s="137">
        <f>IFERROR(1-SUMIF(WTG_BD!$F:$F,$A24,WTG_BD!$AA:$AA)/($AA24+SUMIF(WTG_BD!$F:$F,$A24,WTG_BD!$AA:$AA)),"")</f>
        <v>0.94175509881912511</v>
      </c>
      <c r="Q24" s="138">
        <f>IFERROR(1-SUMIF(IGA_BD!$F:$F,$A24,IGA_BD!$V:$V)/($AA24+SUMIF(IGA_BD!$F:$F,$A24,IGA_BD!$V:$V)),"")</f>
        <v>1</v>
      </c>
      <c r="R24" s="143">
        <f>IFERROR(1-SUMIF(Grid_BD!$F:$F,$A24,Grid_BD!$X:$X)/($AA24+SUMIF(Grid_BD!$F:$F,$A24,Grid_BD!$X:$X)),"")</f>
        <v>1</v>
      </c>
      <c r="S24" s="121"/>
      <c r="T24" s="138"/>
      <c r="U24" s="139"/>
      <c r="V24" s="121"/>
      <c r="W24" s="140">
        <f>IFERROR(Table13[[#This Row],[Mtr_Net_Exp (KWh)]]/(24*AR24*1000),"")</f>
        <v>0.4012820512820513</v>
      </c>
      <c r="X24" s="121">
        <f>IFERROR(_xlfn.XLOOKUP($A24,Input_Raw!$A:$A,Input_Raw!$CF:$CF),"")</f>
        <v>752099</v>
      </c>
      <c r="Y24" s="121">
        <f>IFERROR(_xlfn.XLOOKUP($A24,Input_Raw!$A:$A,Input_Raw!$CZ:$CZ),"")</f>
        <v>751200</v>
      </c>
      <c r="Z24" s="121">
        <f>IFERROR(_xlfn.XLOOKUP($A24,Input_Raw!$A:$A,Input_Raw!$DA:$DA),"")</f>
        <v>0</v>
      </c>
      <c r="AA24" s="123">
        <f t="shared" si="2"/>
        <v>751200</v>
      </c>
      <c r="AB24" s="121">
        <f>IFERROR(_xlfn.XLOOKUP($A24,Input_Raw!$A:$A,Input_Raw!$DG:$DG),"")</f>
        <v>78</v>
      </c>
      <c r="AC24" s="141">
        <f>IFERROR(_xlfn.XLOOKUP($D24,'Modelling New'!$D:$D,'Modelling New'!$J:$J),"")</f>
        <v>5.6333333333333329</v>
      </c>
      <c r="AD24" s="123">
        <f>IFERROR(_xlfn.XLOOKUP($D24,'Modelling New'!$D:$D,'Modelling New'!$T:$T)*1000,"")</f>
        <v>340888.47260338557</v>
      </c>
      <c r="AE24" s="140"/>
      <c r="AF24" s="140">
        <f>IFERROR(_xlfn.XLOOKUP($D24,'Modelling New'!$D:$D,'Modelling New'!$W:$W),"")</f>
        <v>0.18209854305736409</v>
      </c>
      <c r="AG24" s="140">
        <f>IFERROR(_xlfn.XLOOKUP($D24,'Modelling New'!$D:$D,'Modelling New'!$AE:$AE),"")</f>
        <v>0.96029999999999993</v>
      </c>
      <c r="AH24" s="140">
        <f>IFERROR(_xlfn.XLOOKUP($D24,'Modelling New'!$D:$D,'Modelling New'!$AF:$AF),"")</f>
        <v>0.995</v>
      </c>
      <c r="AI24" s="121">
        <f>IFERROR(_xlfn.XLOOKUP($A24,Input_Raw!$A:$A,Input_Raw!$DE:$DE),"")</f>
        <v>752.09</v>
      </c>
      <c r="AJ24" s="121"/>
      <c r="AK24" s="121"/>
      <c r="AL24" s="121"/>
      <c r="AM24" s="121"/>
      <c r="AN24" s="142">
        <f>IFERROR(_xlfn.XLOOKUP($A24,Input_Raw!$A:$A,Input_Raw!$DB:$DB),"")</f>
        <v>1.1953213606187285E-3</v>
      </c>
      <c r="AO24" s="140">
        <f>IFERROR((_xlfn.XLOOKUP($A24,'WTG Reactive Power'!$A:$A,'WTG Reactive Power'!$AR:$AR))/X24/1000,"")</f>
        <v>0</v>
      </c>
      <c r="AP24" s="140">
        <f>IFERROR(_xlfn.XLOOKUP($D24,'Modelling New'!$D:$D,'Modelling New'!$AK:$AK),"")</f>
        <v>0.05</v>
      </c>
      <c r="AQ24" s="140">
        <f>IFERROR(_xlfn.XLOOKUP($D24,'Modelling New'!$D:$D,'Modelling New'!$AL:$AL),"")</f>
        <v>0.05</v>
      </c>
      <c r="AR24">
        <f>IFERROR(_xlfn.XLOOKUP($D24,'Modelling New'!$D:$D,'Modelling New'!$N:$N),"")</f>
        <v>78</v>
      </c>
    </row>
    <row r="25" spans="1:44">
      <c r="A25" s="134">
        <f t="shared" si="3"/>
        <v>45768</v>
      </c>
      <c r="B25" s="123">
        <f>YEAR(Table13[[#This Row],[Date]])+IF(MONTH(Table13[[#This Row],[Date]])&gt;=4,1,0)</f>
        <v>2026</v>
      </c>
      <c r="C25" s="121">
        <f>YEAR(Table13[[#This Row],[Date]])</f>
        <v>2025</v>
      </c>
      <c r="D25" s="135">
        <f>Table13[[#This Row],[Date]]-DAY(Table13[[#This Row],[Date]])+1</f>
        <v>45748</v>
      </c>
      <c r="E25" s="121">
        <f t="shared" si="0"/>
        <v>30</v>
      </c>
      <c r="F25" s="124"/>
      <c r="G25" s="125"/>
      <c r="H25" s="125"/>
      <c r="I25" s="125"/>
      <c r="J25" s="125"/>
      <c r="K25" s="136"/>
      <c r="L25" s="125"/>
      <c r="M25" s="125">
        <f>IFERROR(_xlfn.XLOOKUP($A25,Input_Raw!$A:$A,Input_Raw!CG:CG),"")</f>
        <v>5.25979450046166</v>
      </c>
      <c r="N25" s="125">
        <f>IFERROR(_xlfn.XLOOKUP($A25,Input_Raw!$A:$A,Input_Raw!CH:CH),"")</f>
        <v>0</v>
      </c>
      <c r="O25" s="137">
        <f t="shared" si="1"/>
        <v>0.9428951388204837</v>
      </c>
      <c r="P25" s="137">
        <f>IFERROR(1-SUMIF(WTG_BD!$F:$F,$A25,WTG_BD!$AA:$AA)/($AA25+SUMIF(WTG_BD!$F:$F,$A25,WTG_BD!$AA:$AA)),"")</f>
        <v>0.9428951388204837</v>
      </c>
      <c r="Q25" s="138">
        <f>IFERROR(1-SUMIF(IGA_BD!$F:$F,$A25,IGA_BD!$V:$V)/($AA25+SUMIF(IGA_BD!$F:$F,$A25,IGA_BD!$V:$V)),"")</f>
        <v>1</v>
      </c>
      <c r="R25" s="143">
        <f>IFERROR(1-SUMIF(Grid_BD!$F:$F,$A25,Grid_BD!$X:$X)/($AA25+SUMIF(Grid_BD!$F:$F,$A25,Grid_BD!$X:$X)),"")</f>
        <v>1</v>
      </c>
      <c r="S25" s="121"/>
      <c r="T25" s="138"/>
      <c r="U25" s="139"/>
      <c r="V25" s="121"/>
      <c r="W25" s="140">
        <f>IFERROR(Table13[[#This Row],[Mtr_Net_Exp (KWh)]]/(24*AR25*1000),"")</f>
        <v>0.15448717948717949</v>
      </c>
      <c r="X25" s="121">
        <f>IFERROR(_xlfn.XLOOKUP($A25,Input_Raw!$A:$A,Input_Raw!$CF:$CF),"")</f>
        <v>299034</v>
      </c>
      <c r="Y25" s="121">
        <f>IFERROR(_xlfn.XLOOKUP($A25,Input_Raw!$A:$A,Input_Raw!$CZ:$CZ),"")</f>
        <v>291600</v>
      </c>
      <c r="Z25" s="121">
        <f>IFERROR(_xlfn.XLOOKUP($A25,Input_Raw!$A:$A,Input_Raw!$DA:$DA),"")</f>
        <v>2400</v>
      </c>
      <c r="AA25" s="123">
        <f t="shared" si="2"/>
        <v>289200</v>
      </c>
      <c r="AB25" s="121">
        <f>IFERROR(_xlfn.XLOOKUP($A25,Input_Raw!$A:$A,Input_Raw!$DG:$DG),"")</f>
        <v>78</v>
      </c>
      <c r="AC25" s="141">
        <f>IFERROR(_xlfn.XLOOKUP($D25,'Modelling New'!$D:$D,'Modelling New'!$J:$J),"")</f>
        <v>5.6333333333333329</v>
      </c>
      <c r="AD25" s="123">
        <f>IFERROR(_xlfn.XLOOKUP($D25,'Modelling New'!$D:$D,'Modelling New'!$T:$T)*1000,"")</f>
        <v>340888.47260338557</v>
      </c>
      <c r="AE25" s="140"/>
      <c r="AF25" s="140">
        <f>IFERROR(_xlfn.XLOOKUP($D25,'Modelling New'!$D:$D,'Modelling New'!$W:$W),"")</f>
        <v>0.18209854305736409</v>
      </c>
      <c r="AG25" s="140">
        <f>IFERROR(_xlfn.XLOOKUP($D25,'Modelling New'!$D:$D,'Modelling New'!$AE:$AE),"")</f>
        <v>0.96029999999999993</v>
      </c>
      <c r="AH25" s="140">
        <f>IFERROR(_xlfn.XLOOKUP($D25,'Modelling New'!$D:$D,'Modelling New'!$AF:$AF),"")</f>
        <v>0.995</v>
      </c>
      <c r="AI25" s="121">
        <f>IFERROR(_xlfn.XLOOKUP($A25,Input_Raw!$A:$A,Input_Raw!$DE:$DE),"")</f>
        <v>299.02999999999997</v>
      </c>
      <c r="AJ25" s="121"/>
      <c r="AK25" s="121"/>
      <c r="AL25" s="121"/>
      <c r="AM25" s="121"/>
      <c r="AN25" s="142">
        <f>IFERROR(_xlfn.XLOOKUP($A25,Input_Raw!$A:$A,Input_Raw!$DB:$DB),"")</f>
        <v>2.4860049358935821E-2</v>
      </c>
      <c r="AO25" s="140">
        <f>IFERROR((_xlfn.XLOOKUP($A25,'WTG Reactive Power'!$A:$A,'WTG Reactive Power'!$AR:$AR))/X25/1000,"")</f>
        <v>2.8087107151695124E-5</v>
      </c>
      <c r="AP25" s="140">
        <f>IFERROR(_xlfn.XLOOKUP($D25,'Modelling New'!$D:$D,'Modelling New'!$AK:$AK),"")</f>
        <v>0.05</v>
      </c>
      <c r="AQ25" s="140">
        <f>IFERROR(_xlfn.XLOOKUP($D25,'Modelling New'!$D:$D,'Modelling New'!$AL:$AL),"")</f>
        <v>0.05</v>
      </c>
      <c r="AR25">
        <f>IFERROR(_xlfn.XLOOKUP($D25,'Modelling New'!$D:$D,'Modelling New'!$N:$N),"")</f>
        <v>78</v>
      </c>
    </row>
    <row r="26" spans="1:44">
      <c r="A26" s="134">
        <f t="shared" si="3"/>
        <v>45769</v>
      </c>
      <c r="B26" s="123">
        <f>YEAR(Table13[[#This Row],[Date]])+IF(MONTH(Table13[[#This Row],[Date]])&gt;=4,1,0)</f>
        <v>2026</v>
      </c>
      <c r="C26" s="121">
        <f>YEAR(Table13[[#This Row],[Date]])</f>
        <v>2025</v>
      </c>
      <c r="D26" s="135">
        <f>Table13[[#This Row],[Date]]-DAY(Table13[[#This Row],[Date]])+1</f>
        <v>45748</v>
      </c>
      <c r="E26" s="121">
        <f t="shared" si="0"/>
        <v>30</v>
      </c>
      <c r="F26" s="124"/>
      <c r="G26" s="125"/>
      <c r="H26" s="125"/>
      <c r="I26" s="125"/>
      <c r="J26" s="125"/>
      <c r="K26" s="136"/>
      <c r="L26" s="125"/>
      <c r="M26" s="125">
        <f>IFERROR(_xlfn.XLOOKUP($A26,Input_Raw!$A:$A,Input_Raw!CG:CG),"")</f>
        <v>4.056923076923078</v>
      </c>
      <c r="N26" s="125">
        <f>IFERROR(_xlfn.XLOOKUP($A26,Input_Raw!$A:$A,Input_Raw!CH:CH),"")</f>
        <v>0</v>
      </c>
      <c r="O26" s="137">
        <f t="shared" si="1"/>
        <v>0.93433376353694308</v>
      </c>
      <c r="P26" s="137">
        <f>IFERROR(1-SUMIF(WTG_BD!$F:$F,$A26,WTG_BD!$AA:$AA)/($AA26+SUMIF(WTG_BD!$F:$F,$A26,WTG_BD!$AA:$AA)),"")</f>
        <v>0.93433376353694308</v>
      </c>
      <c r="Q26" s="138">
        <f>IFERROR(1-SUMIF(IGA_BD!$F:$F,$A26,IGA_BD!$V:$V)/($AA26+SUMIF(IGA_BD!$F:$F,$A26,IGA_BD!$V:$V)),"")</f>
        <v>1</v>
      </c>
      <c r="R26" s="143">
        <f>IFERROR(1-SUMIF(Grid_BD!$F:$F,$A26,Grid_BD!$X:$X)/($AA26+SUMIF(Grid_BD!$F:$F,$A26,Grid_BD!$X:$X)),"")</f>
        <v>1</v>
      </c>
      <c r="S26" s="121"/>
      <c r="T26" s="138"/>
      <c r="U26" s="139"/>
      <c r="V26" s="121"/>
      <c r="W26" s="140">
        <f>IFERROR(Table13[[#This Row],[Mtr_Net_Exp (KWh)]]/(24*AR26*1000),"")</f>
        <v>0.11346153846153846</v>
      </c>
      <c r="X26" s="121">
        <f>IFERROR(_xlfn.XLOOKUP($A26,Input_Raw!$A:$A,Input_Raw!$CF:$CF),"")</f>
        <v>215096</v>
      </c>
      <c r="Y26" s="121">
        <f>IFERROR(_xlfn.XLOOKUP($A26,Input_Raw!$A:$A,Input_Raw!$CZ:$CZ),"")</f>
        <v>213600</v>
      </c>
      <c r="Z26" s="121">
        <f>IFERROR(_xlfn.XLOOKUP($A26,Input_Raw!$A:$A,Input_Raw!$DA:$DA),"")</f>
        <v>1200</v>
      </c>
      <c r="AA26" s="123">
        <f t="shared" si="2"/>
        <v>212400</v>
      </c>
      <c r="AB26" s="121">
        <f>IFERROR(_xlfn.XLOOKUP($A26,Input_Raw!$A:$A,Input_Raw!$DG:$DG),"")</f>
        <v>78</v>
      </c>
      <c r="AC26" s="141">
        <f>IFERROR(_xlfn.XLOOKUP($D26,'Modelling New'!$D:$D,'Modelling New'!$J:$J),"")</f>
        <v>5.6333333333333329</v>
      </c>
      <c r="AD26" s="123">
        <f>IFERROR(_xlfn.XLOOKUP($D26,'Modelling New'!$D:$D,'Modelling New'!$T:$T)*1000,"")</f>
        <v>340888.47260338557</v>
      </c>
      <c r="AE26" s="140"/>
      <c r="AF26" s="140">
        <f>IFERROR(_xlfn.XLOOKUP($D26,'Modelling New'!$D:$D,'Modelling New'!$W:$W),"")</f>
        <v>0.18209854305736409</v>
      </c>
      <c r="AG26" s="140">
        <f>IFERROR(_xlfn.XLOOKUP($D26,'Modelling New'!$D:$D,'Modelling New'!$AE:$AE),"")</f>
        <v>0.96029999999999993</v>
      </c>
      <c r="AH26" s="140">
        <f>IFERROR(_xlfn.XLOOKUP($D26,'Modelling New'!$D:$D,'Modelling New'!$AF:$AF),"")</f>
        <v>0.995</v>
      </c>
      <c r="AI26" s="121">
        <f>IFERROR(_xlfn.XLOOKUP($A26,Input_Raw!$A:$A,Input_Raw!$DE:$DE),"")</f>
        <v>215.09</v>
      </c>
      <c r="AJ26" s="121"/>
      <c r="AK26" s="121"/>
      <c r="AL26" s="121"/>
      <c r="AM26" s="121"/>
      <c r="AN26" s="142">
        <f>IFERROR(_xlfn.XLOOKUP($A26,Input_Raw!$A:$A,Input_Raw!$DB:$DB),"")</f>
        <v>6.955034031316254E-3</v>
      </c>
      <c r="AO26" s="140">
        <f>IFERROR((_xlfn.XLOOKUP($A26,'WTG Reactive Power'!$A:$A,'WTG Reactive Power'!$AR:$AR))/X26/1000,"")</f>
        <v>3.9047681035444639E-5</v>
      </c>
      <c r="AP26" s="140">
        <f>IFERROR(_xlfn.XLOOKUP($D26,'Modelling New'!$D:$D,'Modelling New'!$AK:$AK),"")</f>
        <v>0.05</v>
      </c>
      <c r="AQ26" s="140">
        <f>IFERROR(_xlfn.XLOOKUP($D26,'Modelling New'!$D:$D,'Modelling New'!$AL:$AL),"")</f>
        <v>0.05</v>
      </c>
      <c r="AR26">
        <f>IFERROR(_xlfn.XLOOKUP($D26,'Modelling New'!$D:$D,'Modelling New'!$N:$N),"")</f>
        <v>78</v>
      </c>
    </row>
    <row r="27" spans="1:44">
      <c r="A27" s="134">
        <f t="shared" si="3"/>
        <v>45770</v>
      </c>
      <c r="B27" s="123">
        <f>YEAR(Table13[[#This Row],[Date]])+IF(MONTH(Table13[[#This Row],[Date]])&gt;=4,1,0)</f>
        <v>2026</v>
      </c>
      <c r="C27" s="121">
        <f>YEAR(Table13[[#This Row],[Date]])</f>
        <v>2025</v>
      </c>
      <c r="D27" s="135">
        <f>Table13[[#This Row],[Date]]-DAY(Table13[[#This Row],[Date]])+1</f>
        <v>45748</v>
      </c>
      <c r="E27" s="121">
        <f t="shared" si="0"/>
        <v>30</v>
      </c>
      <c r="F27" s="124"/>
      <c r="G27" s="125"/>
      <c r="H27" s="125"/>
      <c r="I27" s="125"/>
      <c r="J27" s="125"/>
      <c r="K27" s="136"/>
      <c r="L27" s="125"/>
      <c r="M27" s="125">
        <f>IFERROR(_xlfn.XLOOKUP($A27,Input_Raw!$A:$A,Input_Raw!CG:CG),"")</f>
        <v>3.4902564102564111</v>
      </c>
      <c r="N27" s="125">
        <f>IFERROR(_xlfn.XLOOKUP($A27,Input_Raw!$A:$A,Input_Raw!CH:CH),"")</f>
        <v>0</v>
      </c>
      <c r="O27" s="137">
        <f t="shared" si="1"/>
        <v>0.9424764391420497</v>
      </c>
      <c r="P27" s="137">
        <f>IFERROR(1-SUMIF(WTG_BD!$F:$F,$A27,WTG_BD!$AA:$AA)/($AA27+SUMIF(WTG_BD!$F:$F,$A27,WTG_BD!$AA:$AA)),"")</f>
        <v>0.9424764391420497</v>
      </c>
      <c r="Q27" s="138">
        <f>IFERROR(1-SUMIF(IGA_BD!$F:$F,$A27,IGA_BD!$V:$V)/($AA27+SUMIF(IGA_BD!$F:$F,$A27,IGA_BD!$V:$V)),"")</f>
        <v>1</v>
      </c>
      <c r="R27" s="143">
        <f>IFERROR(1-SUMIF(Grid_BD!$F:$F,$A27,Grid_BD!$X:$X)/($AA27+SUMIF(Grid_BD!$F:$F,$A27,Grid_BD!$X:$X)),"")</f>
        <v>1</v>
      </c>
      <c r="S27" s="121"/>
      <c r="T27" s="138"/>
      <c r="U27" s="139"/>
      <c r="V27" s="121"/>
      <c r="W27" s="140">
        <f>IFERROR(Table13[[#This Row],[Mtr_Net_Exp (KWh)]]/(24*AR27*1000),"")</f>
        <v>6.4743589743589749E-2</v>
      </c>
      <c r="X27" s="121">
        <f>IFERROR(_xlfn.XLOOKUP($A27,Input_Raw!$A:$A,Input_Raw!$CF:$CF),"")</f>
        <v>128167</v>
      </c>
      <c r="Y27" s="121">
        <f>IFERROR(_xlfn.XLOOKUP($A27,Input_Raw!$A:$A,Input_Raw!$CZ:$CZ),"")</f>
        <v>126000</v>
      </c>
      <c r="Z27" s="121">
        <f>IFERROR(_xlfn.XLOOKUP($A27,Input_Raw!$A:$A,Input_Raw!$DA:$DA),"")</f>
        <v>4800</v>
      </c>
      <c r="AA27" s="123">
        <f t="shared" si="2"/>
        <v>121200</v>
      </c>
      <c r="AB27" s="121">
        <f>IFERROR(_xlfn.XLOOKUP($A27,Input_Raw!$A:$A,Input_Raw!$DG:$DG),"")</f>
        <v>78</v>
      </c>
      <c r="AC27" s="141">
        <f>IFERROR(_xlfn.XLOOKUP($D27,'Modelling New'!$D:$D,'Modelling New'!$J:$J),"")</f>
        <v>5.6333333333333329</v>
      </c>
      <c r="AD27" s="123">
        <f>IFERROR(_xlfn.XLOOKUP($D27,'Modelling New'!$D:$D,'Modelling New'!$T:$T)*1000,"")</f>
        <v>340888.47260338557</v>
      </c>
      <c r="AE27" s="140"/>
      <c r="AF27" s="140">
        <f>IFERROR(_xlfn.XLOOKUP($D27,'Modelling New'!$D:$D,'Modelling New'!$W:$W),"")</f>
        <v>0.18209854305736409</v>
      </c>
      <c r="AG27" s="140">
        <f>IFERROR(_xlfn.XLOOKUP($D27,'Modelling New'!$D:$D,'Modelling New'!$AE:$AE),"")</f>
        <v>0.96029999999999993</v>
      </c>
      <c r="AH27" s="140">
        <f>IFERROR(_xlfn.XLOOKUP($D27,'Modelling New'!$D:$D,'Modelling New'!$AF:$AF),"")</f>
        <v>0.995</v>
      </c>
      <c r="AI27" s="121">
        <f>IFERROR(_xlfn.XLOOKUP($A27,Input_Raw!$A:$A,Input_Raw!$DE:$DE),"")</f>
        <v>128.16</v>
      </c>
      <c r="AJ27" s="121"/>
      <c r="AK27" s="121"/>
      <c r="AL27" s="121"/>
      <c r="AM27" s="121"/>
      <c r="AN27" s="142">
        <f>IFERROR(_xlfn.XLOOKUP($A27,Input_Raw!$A:$A,Input_Raw!$DB:$DB),"")</f>
        <v>1.6907628328664992E-2</v>
      </c>
      <c r="AO27" s="140">
        <f>IFERROR((_xlfn.XLOOKUP($A27,'WTG Reactive Power'!$A:$A,'WTG Reactive Power'!$AR:$AR))/X27/1000,"")</f>
        <v>5.617670695264772E-5</v>
      </c>
      <c r="AP27" s="140">
        <f>IFERROR(_xlfn.XLOOKUP($D27,'Modelling New'!$D:$D,'Modelling New'!$AK:$AK),"")</f>
        <v>0.05</v>
      </c>
      <c r="AQ27" s="140">
        <f>IFERROR(_xlfn.XLOOKUP($D27,'Modelling New'!$D:$D,'Modelling New'!$AL:$AL),"")</f>
        <v>0.05</v>
      </c>
      <c r="AR27">
        <f>IFERROR(_xlfn.XLOOKUP($D27,'Modelling New'!$D:$D,'Modelling New'!$N:$N),"")</f>
        <v>78</v>
      </c>
    </row>
    <row r="28" spans="1:44">
      <c r="A28" s="134">
        <f t="shared" si="3"/>
        <v>45771</v>
      </c>
      <c r="B28" s="123">
        <f>YEAR(Table13[[#This Row],[Date]])+IF(MONTH(Table13[[#This Row],[Date]])&gt;=4,1,0)</f>
        <v>2026</v>
      </c>
      <c r="C28" s="121">
        <f>YEAR(Table13[[#This Row],[Date]])</f>
        <v>2025</v>
      </c>
      <c r="D28" s="135">
        <f>Table13[[#This Row],[Date]]-DAY(Table13[[#This Row],[Date]])+1</f>
        <v>45748</v>
      </c>
      <c r="E28" s="121">
        <f t="shared" si="0"/>
        <v>30</v>
      </c>
      <c r="F28" s="124"/>
      <c r="G28" s="125"/>
      <c r="H28" s="125"/>
      <c r="I28" s="125"/>
      <c r="J28" s="125"/>
      <c r="K28" s="136"/>
      <c r="L28" s="125"/>
      <c r="M28" s="125">
        <f>IFERROR(_xlfn.XLOOKUP($A28,Input_Raw!$A:$A,Input_Raw!CG:CG),"")</f>
        <v>4.2943589743589747</v>
      </c>
      <c r="N28" s="125">
        <f>IFERROR(_xlfn.XLOOKUP($A28,Input_Raw!$A:$A,Input_Raw!CH:CH),"")</f>
        <v>0</v>
      </c>
      <c r="O28" s="137">
        <f t="shared" si="1"/>
        <v>0.93054678518910039</v>
      </c>
      <c r="P28" s="137">
        <f>IFERROR(1-SUMIF(WTG_BD!$F:$F,$A28,WTG_BD!$AA:$AA)/($AA28+SUMIF(WTG_BD!$F:$F,$A28,WTG_BD!$AA:$AA)),"")</f>
        <v>0.93054678518910039</v>
      </c>
      <c r="Q28" s="138">
        <f>IFERROR(1-SUMIF(IGA_BD!$F:$F,$A28,IGA_BD!$V:$V)/($AA28+SUMIF(IGA_BD!$F:$F,$A28,IGA_BD!$V:$V)),"")</f>
        <v>1</v>
      </c>
      <c r="R28" s="143">
        <f>IFERROR(1-SUMIF(Grid_BD!$F:$F,$A28,Grid_BD!$X:$X)/($AA28+SUMIF(Grid_BD!$F:$F,$A28,Grid_BD!$X:$X)),"")</f>
        <v>1</v>
      </c>
      <c r="S28" s="121"/>
      <c r="T28" s="138"/>
      <c r="U28" s="139"/>
      <c r="V28" s="121"/>
      <c r="W28" s="140">
        <f>IFERROR(Table13[[#This Row],[Mtr_Net_Exp (KWh)]]/(24*AR28*1000),"")</f>
        <v>0.10512820512820513</v>
      </c>
      <c r="X28" s="121">
        <f>IFERROR(_xlfn.XLOOKUP($A28,Input_Raw!$A:$A,Input_Raw!$CF:$CF),"")</f>
        <v>203962</v>
      </c>
      <c r="Y28" s="121">
        <f>IFERROR(_xlfn.XLOOKUP($A28,Input_Raw!$A:$A,Input_Raw!$CZ:$CZ),"")</f>
        <v>198000</v>
      </c>
      <c r="Z28" s="121">
        <f>IFERROR(_xlfn.XLOOKUP($A28,Input_Raw!$A:$A,Input_Raw!$DA:$DA),"")</f>
        <v>1200</v>
      </c>
      <c r="AA28" s="123">
        <f t="shared" si="2"/>
        <v>196800</v>
      </c>
      <c r="AB28" s="121">
        <f>IFERROR(_xlfn.XLOOKUP($A28,Input_Raw!$A:$A,Input_Raw!$DG:$DG),"")</f>
        <v>78</v>
      </c>
      <c r="AC28" s="141">
        <f>IFERROR(_xlfn.XLOOKUP($D28,'Modelling New'!$D:$D,'Modelling New'!$J:$J),"")</f>
        <v>5.6333333333333329</v>
      </c>
      <c r="AD28" s="123">
        <f>IFERROR(_xlfn.XLOOKUP($D28,'Modelling New'!$D:$D,'Modelling New'!$T:$T)*1000,"")</f>
        <v>340888.47260338557</v>
      </c>
      <c r="AE28" s="140"/>
      <c r="AF28" s="140">
        <f>IFERROR(_xlfn.XLOOKUP($D28,'Modelling New'!$D:$D,'Modelling New'!$W:$W),"")</f>
        <v>0.18209854305736409</v>
      </c>
      <c r="AG28" s="140">
        <f>IFERROR(_xlfn.XLOOKUP($D28,'Modelling New'!$D:$D,'Modelling New'!$AE:$AE),"")</f>
        <v>0.96029999999999993</v>
      </c>
      <c r="AH28" s="140">
        <f>IFERROR(_xlfn.XLOOKUP($D28,'Modelling New'!$D:$D,'Modelling New'!$AF:$AF),"")</f>
        <v>0.995</v>
      </c>
      <c r="AI28" s="121">
        <f>IFERROR(_xlfn.XLOOKUP($A28,Input_Raw!$A:$A,Input_Raw!$DE:$DE),"")</f>
        <v>203.96</v>
      </c>
      <c r="AJ28" s="121"/>
      <c r="AK28" s="121"/>
      <c r="AL28" s="121"/>
      <c r="AM28" s="121"/>
      <c r="AN28" s="142">
        <f>IFERROR(_xlfn.XLOOKUP($A28,Input_Raw!$A:$A,Input_Raw!$DB:$DB),"")</f>
        <v>2.9230935174199169E-2</v>
      </c>
      <c r="AO28" s="140">
        <f>IFERROR((_xlfn.XLOOKUP($A28,'WTG Reactive Power'!$A:$A,'WTG Reactive Power'!$AR:$AR))/X28/1000,"")</f>
        <v>4.6984242162755807E-5</v>
      </c>
      <c r="AP28" s="140">
        <f>IFERROR(_xlfn.XLOOKUP($D28,'Modelling New'!$D:$D,'Modelling New'!$AK:$AK),"")</f>
        <v>0.05</v>
      </c>
      <c r="AQ28" s="140">
        <f>IFERROR(_xlfn.XLOOKUP($D28,'Modelling New'!$D:$D,'Modelling New'!$AL:$AL),"")</f>
        <v>0.05</v>
      </c>
      <c r="AR28">
        <f>IFERROR(_xlfn.XLOOKUP($D28,'Modelling New'!$D:$D,'Modelling New'!$N:$N),"")</f>
        <v>78</v>
      </c>
    </row>
    <row r="29" spans="1:44">
      <c r="A29" s="134">
        <f t="shared" si="3"/>
        <v>45772</v>
      </c>
      <c r="B29" s="123">
        <f>YEAR(Table13[[#This Row],[Date]])+IF(MONTH(Table13[[#This Row],[Date]])&gt;=4,1,0)</f>
        <v>2026</v>
      </c>
      <c r="C29" s="121">
        <f>YEAR(Table13[[#This Row],[Date]])</f>
        <v>2025</v>
      </c>
      <c r="D29" s="135">
        <f>Table13[[#This Row],[Date]]-DAY(Table13[[#This Row],[Date]])+1</f>
        <v>45748</v>
      </c>
      <c r="E29" s="121">
        <f t="shared" si="0"/>
        <v>30</v>
      </c>
      <c r="F29" s="124"/>
      <c r="G29" s="125"/>
      <c r="H29" s="125"/>
      <c r="I29" s="125"/>
      <c r="J29" s="125"/>
      <c r="K29" s="136"/>
      <c r="L29" s="125"/>
      <c r="M29" s="125">
        <f>IFERROR(_xlfn.XLOOKUP($A29,Input_Raw!$A:$A,Input_Raw!CG:CG),"")</f>
        <v>4.2261538461538448</v>
      </c>
      <c r="N29" s="125">
        <f>IFERROR(_xlfn.XLOOKUP($A29,Input_Raw!$A:$A,Input_Raw!CH:CH),"")</f>
        <v>0</v>
      </c>
      <c r="O29" s="137">
        <f t="shared" si="1"/>
        <v>0.93129773655152626</v>
      </c>
      <c r="P29" s="137">
        <f>IFERROR(1-SUMIF(WTG_BD!$F:$F,$A29,WTG_BD!$AA:$AA)/($AA29+SUMIF(WTG_BD!$F:$F,$A29,WTG_BD!$AA:$AA)),"")</f>
        <v>0.93129773655152626</v>
      </c>
      <c r="Q29" s="138">
        <f>IFERROR(1-SUMIF(IGA_BD!$F:$F,$A29,IGA_BD!$V:$V)/($AA29+SUMIF(IGA_BD!$F:$F,$A29,IGA_BD!$V:$V)),"")</f>
        <v>1</v>
      </c>
      <c r="R29" s="143">
        <f>IFERROR(1-SUMIF(Grid_BD!$F:$F,$A29,Grid_BD!$X:$X)/($AA29+SUMIF(Grid_BD!$F:$F,$A29,Grid_BD!$X:$X)),"")</f>
        <v>1</v>
      </c>
      <c r="S29" s="121"/>
      <c r="T29" s="138"/>
      <c r="U29" s="139"/>
      <c r="V29" s="121"/>
      <c r="W29" s="140">
        <f>IFERROR(Table13[[#This Row],[Mtr_Net_Exp (KWh)]]/(24*AR29*1000),"")</f>
        <v>0.12756410256410255</v>
      </c>
      <c r="X29" s="121">
        <f>IFERROR(_xlfn.XLOOKUP($A29,Input_Raw!$A:$A,Input_Raw!$CF:$CF),"")</f>
        <v>243861</v>
      </c>
      <c r="Y29" s="121">
        <f>IFERROR(_xlfn.XLOOKUP($A29,Input_Raw!$A:$A,Input_Raw!$CZ:$CZ),"")</f>
        <v>242400</v>
      </c>
      <c r="Z29" s="121">
        <f>IFERROR(_xlfn.XLOOKUP($A29,Input_Raw!$A:$A,Input_Raw!$DA:$DA),"")</f>
        <v>3600</v>
      </c>
      <c r="AA29" s="123">
        <f t="shared" si="2"/>
        <v>238800</v>
      </c>
      <c r="AB29" s="121">
        <f>IFERROR(_xlfn.XLOOKUP($A29,Input_Raw!$A:$A,Input_Raw!$DG:$DG),"")</f>
        <v>78</v>
      </c>
      <c r="AC29" s="141">
        <f>IFERROR(_xlfn.XLOOKUP($D29,'Modelling New'!$D:$D,'Modelling New'!$J:$J),"")</f>
        <v>5.6333333333333329</v>
      </c>
      <c r="AD29" s="123">
        <f>IFERROR(_xlfn.XLOOKUP($D29,'Modelling New'!$D:$D,'Modelling New'!$T:$T)*1000,"")</f>
        <v>340888.47260338557</v>
      </c>
      <c r="AE29" s="140"/>
      <c r="AF29" s="140">
        <f>IFERROR(_xlfn.XLOOKUP($D29,'Modelling New'!$D:$D,'Modelling New'!$W:$W),"")</f>
        <v>0.18209854305736409</v>
      </c>
      <c r="AG29" s="140">
        <f>IFERROR(_xlfn.XLOOKUP($D29,'Modelling New'!$D:$D,'Modelling New'!$AE:$AE),"")</f>
        <v>0.96029999999999993</v>
      </c>
      <c r="AH29" s="140">
        <f>IFERROR(_xlfn.XLOOKUP($D29,'Modelling New'!$D:$D,'Modelling New'!$AF:$AF),"")</f>
        <v>0.995</v>
      </c>
      <c r="AI29" s="121">
        <f>IFERROR(_xlfn.XLOOKUP($A29,Input_Raw!$A:$A,Input_Raw!$DE:$DE),"")</f>
        <v>243.86</v>
      </c>
      <c r="AJ29" s="121"/>
      <c r="AK29" s="121"/>
      <c r="AL29" s="121"/>
      <c r="AM29" s="121"/>
      <c r="AN29" s="142">
        <f>IFERROR(_xlfn.XLOOKUP($A29,Input_Raw!$A:$A,Input_Raw!$DB:$DB),"")</f>
        <v>5.9911178909296536E-3</v>
      </c>
      <c r="AO29" s="140">
        <f>IFERROR((_xlfn.XLOOKUP($A29,'WTG Reactive Power'!$A:$A,'WTG Reactive Power'!$AR:$AR))/X29/1000,"")</f>
        <v>9.862175583631659E-6</v>
      </c>
      <c r="AP29" s="140">
        <f>IFERROR(_xlfn.XLOOKUP($D29,'Modelling New'!$D:$D,'Modelling New'!$AK:$AK),"")</f>
        <v>0.05</v>
      </c>
      <c r="AQ29" s="140">
        <f>IFERROR(_xlfn.XLOOKUP($D29,'Modelling New'!$D:$D,'Modelling New'!$AL:$AL),"")</f>
        <v>0.05</v>
      </c>
      <c r="AR29">
        <f>IFERROR(_xlfn.XLOOKUP($D29,'Modelling New'!$D:$D,'Modelling New'!$N:$N),"")</f>
        <v>78</v>
      </c>
    </row>
    <row r="30" spans="1:44">
      <c r="A30" s="134">
        <f t="shared" si="3"/>
        <v>45773</v>
      </c>
      <c r="B30" s="123">
        <f>YEAR(Table13[[#This Row],[Date]])+IF(MONTH(Table13[[#This Row],[Date]])&gt;=4,1,0)</f>
        <v>2026</v>
      </c>
      <c r="C30" s="121">
        <f>YEAR(Table13[[#This Row],[Date]])</f>
        <v>2025</v>
      </c>
      <c r="D30" s="135">
        <f>Table13[[#This Row],[Date]]-DAY(Table13[[#This Row],[Date]])+1</f>
        <v>45748</v>
      </c>
      <c r="E30" s="121">
        <f t="shared" si="0"/>
        <v>30</v>
      </c>
      <c r="F30" s="124"/>
      <c r="G30" s="125"/>
      <c r="H30" s="125"/>
      <c r="I30" s="125"/>
      <c r="J30" s="125"/>
      <c r="K30" s="136"/>
      <c r="L30" s="125"/>
      <c r="M30" s="125">
        <f>IFERROR(_xlfn.XLOOKUP($A30,Input_Raw!$A:$A,Input_Raw!CG:CG),"")</f>
        <v>4.8151282051282047</v>
      </c>
      <c r="N30" s="125">
        <f>IFERROR(_xlfn.XLOOKUP($A30,Input_Raw!$A:$A,Input_Raw!CH:CH),"")</f>
        <v>0</v>
      </c>
      <c r="O30" s="137">
        <f t="shared" si="1"/>
        <v>0.94182762101859263</v>
      </c>
      <c r="P30" s="137">
        <f>IFERROR(1-SUMIF(WTG_BD!$F:$F,$A30,WTG_BD!$AA:$AA)/($AA30+SUMIF(WTG_BD!$F:$F,$A30,WTG_BD!$AA:$AA)),"")</f>
        <v>0.94182762101859263</v>
      </c>
      <c r="Q30" s="138">
        <f>IFERROR(1-SUMIF(IGA_BD!$F:$F,$A30,IGA_BD!$V:$V)/($AA30+SUMIF(IGA_BD!$F:$F,$A30,IGA_BD!$V:$V)),"")</f>
        <v>1</v>
      </c>
      <c r="R30" s="143">
        <f>IFERROR(1-SUMIF(Grid_BD!$F:$F,$A30,Grid_BD!$X:$X)/($AA30+SUMIF(Grid_BD!$F:$F,$A30,Grid_BD!$X:$X)),"")</f>
        <v>1</v>
      </c>
      <c r="S30" s="121"/>
      <c r="T30" s="138"/>
      <c r="U30" s="139"/>
      <c r="V30" s="121"/>
      <c r="W30" s="140">
        <f>IFERROR(Table13[[#This Row],[Mtr_Net_Exp (KWh)]]/(24*AR30*1000),"")</f>
        <v>0.20128205128205129</v>
      </c>
      <c r="X30" s="121">
        <f>IFERROR(_xlfn.XLOOKUP($A30,Input_Raw!$A:$A,Input_Raw!$CF:$CF),"")</f>
        <v>379529</v>
      </c>
      <c r="Y30" s="121">
        <f>IFERROR(_xlfn.XLOOKUP($A30,Input_Raw!$A:$A,Input_Raw!$CZ:$CZ),"")</f>
        <v>376800</v>
      </c>
      <c r="Z30" s="121">
        <f>IFERROR(_xlfn.XLOOKUP($A30,Input_Raw!$A:$A,Input_Raw!$DA:$DA),"")</f>
        <v>0</v>
      </c>
      <c r="AA30" s="123">
        <f t="shared" si="2"/>
        <v>376800</v>
      </c>
      <c r="AB30" s="121">
        <f>IFERROR(_xlfn.XLOOKUP($A30,Input_Raw!$A:$A,Input_Raw!$DG:$DG),"")</f>
        <v>78</v>
      </c>
      <c r="AC30" s="141">
        <f>IFERROR(_xlfn.XLOOKUP($D30,'Modelling New'!$D:$D,'Modelling New'!$J:$J),"")</f>
        <v>5.6333333333333329</v>
      </c>
      <c r="AD30" s="123">
        <f>IFERROR(_xlfn.XLOOKUP($D30,'Modelling New'!$D:$D,'Modelling New'!$T:$T)*1000,"")</f>
        <v>340888.47260338557</v>
      </c>
      <c r="AE30" s="140"/>
      <c r="AF30" s="140">
        <f>IFERROR(_xlfn.XLOOKUP($D30,'Modelling New'!$D:$D,'Modelling New'!$W:$W),"")</f>
        <v>0.18209854305736409</v>
      </c>
      <c r="AG30" s="140">
        <f>IFERROR(_xlfn.XLOOKUP($D30,'Modelling New'!$D:$D,'Modelling New'!$AE:$AE),"")</f>
        <v>0.96029999999999993</v>
      </c>
      <c r="AH30" s="140">
        <f>IFERROR(_xlfn.XLOOKUP($D30,'Modelling New'!$D:$D,'Modelling New'!$AF:$AF),"")</f>
        <v>0.995</v>
      </c>
      <c r="AI30" s="121">
        <f>IFERROR(_xlfn.XLOOKUP($A30,Input_Raw!$A:$A,Input_Raw!$DE:$DE),"")</f>
        <v>379.52</v>
      </c>
      <c r="AJ30" s="121"/>
      <c r="AK30" s="121"/>
      <c r="AL30" s="121"/>
      <c r="AM30" s="121"/>
      <c r="AN30" s="142">
        <f>IFERROR(_xlfn.XLOOKUP($A30,Input_Raw!$A:$A,Input_Raw!$DB:$DB),"")</f>
        <v>7.1904913722008468E-3</v>
      </c>
      <c r="AO30" s="140">
        <f>IFERROR((_xlfn.XLOOKUP($A30,'WTG Reactive Power'!$A:$A,'WTG Reactive Power'!$AR:$AR))/X30/1000,"")</f>
        <v>6.3368016673297688E-6</v>
      </c>
      <c r="AP30" s="140">
        <f>IFERROR(_xlfn.XLOOKUP($D30,'Modelling New'!$D:$D,'Modelling New'!$AK:$AK),"")</f>
        <v>0.05</v>
      </c>
      <c r="AQ30" s="140">
        <f>IFERROR(_xlfn.XLOOKUP($D30,'Modelling New'!$D:$D,'Modelling New'!$AL:$AL),"")</f>
        <v>0.05</v>
      </c>
      <c r="AR30">
        <f>IFERROR(_xlfn.XLOOKUP($D30,'Modelling New'!$D:$D,'Modelling New'!$N:$N),"")</f>
        <v>78</v>
      </c>
    </row>
    <row r="31" spans="1:44">
      <c r="A31" s="134">
        <f t="shared" si="3"/>
        <v>45774</v>
      </c>
      <c r="B31" s="123">
        <f>YEAR(Table13[[#This Row],[Date]])+IF(MONTH(Table13[[#This Row],[Date]])&gt;=4,1,0)</f>
        <v>2026</v>
      </c>
      <c r="C31" s="121">
        <f>YEAR(Table13[[#This Row],[Date]])</f>
        <v>2025</v>
      </c>
      <c r="D31" s="135">
        <f>Table13[[#This Row],[Date]]-DAY(Table13[[#This Row],[Date]])+1</f>
        <v>45748</v>
      </c>
      <c r="E31" s="121">
        <f t="shared" si="0"/>
        <v>30</v>
      </c>
      <c r="F31" s="124"/>
      <c r="G31" s="125"/>
      <c r="H31" s="125"/>
      <c r="I31" s="125"/>
      <c r="J31" s="125"/>
      <c r="K31" s="136"/>
      <c r="L31" s="125"/>
      <c r="M31" s="125">
        <f>IFERROR(_xlfn.XLOOKUP($A31,Input_Raw!$A:$A,Input_Raw!CG:CG),"")</f>
        <v>4.2369230769230759</v>
      </c>
      <c r="N31" s="125">
        <f>IFERROR(_xlfn.XLOOKUP($A31,Input_Raw!$A:$A,Input_Raw!CH:CH),"")</f>
        <v>0</v>
      </c>
      <c r="O31" s="137">
        <f t="shared" si="1"/>
        <v>0.93396408860146529</v>
      </c>
      <c r="P31" s="137">
        <f>IFERROR(1-SUMIF(WTG_BD!$F:$F,$A31,WTG_BD!$AA:$AA)/($AA31+SUMIF(WTG_BD!$F:$F,$A31,WTG_BD!$AA:$AA)),"")</f>
        <v>0.93396408860146529</v>
      </c>
      <c r="Q31" s="138">
        <f>IFERROR(1-SUMIF(IGA_BD!$F:$F,$A31,IGA_BD!$V:$V)/($AA31+SUMIF(IGA_BD!$F:$F,$A31,IGA_BD!$V:$V)),"")</f>
        <v>1</v>
      </c>
      <c r="R31" s="143">
        <f>IFERROR(1-SUMIF(Grid_BD!$F:$F,$A31,Grid_BD!$X:$X)/($AA31+SUMIF(Grid_BD!$F:$F,$A31,Grid_BD!$X:$X)),"")</f>
        <v>1</v>
      </c>
      <c r="S31" s="121"/>
      <c r="T31" s="138"/>
      <c r="U31" s="139"/>
      <c r="V31" s="121"/>
      <c r="W31" s="140">
        <f>IFERROR(Table13[[#This Row],[Mtr_Net_Exp (KWh)]]/(24*AR31*1000),"")</f>
        <v>9.7435897435897437E-2</v>
      </c>
      <c r="X31" s="121">
        <f>IFERROR(_xlfn.XLOOKUP($A31,Input_Raw!$A:$A,Input_Raw!$CF:$CF),"")</f>
        <v>190112</v>
      </c>
      <c r="Y31" s="121">
        <f>IFERROR(_xlfn.XLOOKUP($A31,Input_Raw!$A:$A,Input_Raw!$CZ:$CZ),"")</f>
        <v>187200</v>
      </c>
      <c r="Z31" s="121">
        <f>IFERROR(_xlfn.XLOOKUP($A31,Input_Raw!$A:$A,Input_Raw!$DA:$DA),"")</f>
        <v>4800</v>
      </c>
      <c r="AA31" s="123">
        <f t="shared" si="2"/>
        <v>182400</v>
      </c>
      <c r="AB31" s="121">
        <f>IFERROR(_xlfn.XLOOKUP($A31,Input_Raw!$A:$A,Input_Raw!$DG:$DG),"")</f>
        <v>78</v>
      </c>
      <c r="AC31" s="141">
        <f>IFERROR(_xlfn.XLOOKUP($D31,'Modelling New'!$D:$D,'Modelling New'!$J:$J),"")</f>
        <v>5.6333333333333329</v>
      </c>
      <c r="AD31" s="123">
        <f>IFERROR(_xlfn.XLOOKUP($D31,'Modelling New'!$D:$D,'Modelling New'!$T:$T)*1000,"")</f>
        <v>340888.47260338557</v>
      </c>
      <c r="AE31" s="140"/>
      <c r="AF31" s="140">
        <f>IFERROR(_xlfn.XLOOKUP($D31,'Modelling New'!$D:$D,'Modelling New'!$W:$W),"")</f>
        <v>0.18209854305736409</v>
      </c>
      <c r="AG31" s="140">
        <f>IFERROR(_xlfn.XLOOKUP($D31,'Modelling New'!$D:$D,'Modelling New'!$AE:$AE),"")</f>
        <v>0.96029999999999993</v>
      </c>
      <c r="AH31" s="140">
        <f>IFERROR(_xlfn.XLOOKUP($D31,'Modelling New'!$D:$D,'Modelling New'!$AF:$AF),"")</f>
        <v>0.995</v>
      </c>
      <c r="AI31" s="121">
        <f>IFERROR(_xlfn.XLOOKUP($A31,Input_Raw!$A:$A,Input_Raw!$DE:$DE),"")</f>
        <v>190.11</v>
      </c>
      <c r="AJ31" s="121"/>
      <c r="AK31" s="121"/>
      <c r="AL31" s="121"/>
      <c r="AM31" s="121"/>
      <c r="AN31" s="142">
        <f>IFERROR(_xlfn.XLOOKUP($A31,Input_Raw!$A:$A,Input_Raw!$DB:$DB),"")</f>
        <v>1.5317286652078765E-2</v>
      </c>
      <c r="AO31" s="140">
        <f>IFERROR((_xlfn.XLOOKUP($A31,'WTG Reactive Power'!$A:$A,'WTG Reactive Power'!$AR:$AR))/X31/1000,"")</f>
        <v>4.4179220669920886E-5</v>
      </c>
      <c r="AP31" s="140">
        <f>IFERROR(_xlfn.XLOOKUP($D31,'Modelling New'!$D:$D,'Modelling New'!$AK:$AK),"")</f>
        <v>0.05</v>
      </c>
      <c r="AQ31" s="140">
        <f>IFERROR(_xlfn.XLOOKUP($D31,'Modelling New'!$D:$D,'Modelling New'!$AL:$AL),"")</f>
        <v>0.05</v>
      </c>
      <c r="AR31">
        <f>IFERROR(_xlfn.XLOOKUP($D31,'Modelling New'!$D:$D,'Modelling New'!$N:$N),"")</f>
        <v>78</v>
      </c>
    </row>
    <row r="32" spans="1:44">
      <c r="A32" s="134">
        <f t="shared" si="3"/>
        <v>45775</v>
      </c>
      <c r="B32" s="123">
        <f>YEAR(Table13[[#This Row],[Date]])+IF(MONTH(Table13[[#This Row],[Date]])&gt;=4,1,0)</f>
        <v>2026</v>
      </c>
      <c r="C32" s="121">
        <f>YEAR(Table13[[#This Row],[Date]])</f>
        <v>2025</v>
      </c>
      <c r="D32" s="135">
        <f>Table13[[#This Row],[Date]]-DAY(Table13[[#This Row],[Date]])+1</f>
        <v>45748</v>
      </c>
      <c r="E32" s="121">
        <f t="shared" si="0"/>
        <v>30</v>
      </c>
      <c r="F32" s="124"/>
      <c r="G32" s="125"/>
      <c r="H32" s="125"/>
      <c r="I32" s="125"/>
      <c r="J32" s="125"/>
      <c r="K32" s="136"/>
      <c r="L32" s="125"/>
      <c r="M32" s="125">
        <f>IFERROR(_xlfn.XLOOKUP($A32,Input_Raw!$A:$A,Input_Raw!CG:CG),"")</f>
        <v>4.056923076923078</v>
      </c>
      <c r="N32" s="125">
        <f>IFERROR(_xlfn.XLOOKUP($A32,Input_Raw!$A:$A,Input_Raw!CH:CH),"")</f>
        <v>0</v>
      </c>
      <c r="O32" s="137">
        <f t="shared" si="1"/>
        <v>0.93917095840528986</v>
      </c>
      <c r="P32" s="137">
        <f>IFERROR(1-SUMIF(WTG_BD!$F:$F,$A32,WTG_BD!$AA:$AA)/($AA32+SUMIF(WTG_BD!$F:$F,$A32,WTG_BD!$AA:$AA)),"")</f>
        <v>0.93917095840528986</v>
      </c>
      <c r="Q32" s="138">
        <f>IFERROR(1-SUMIF(IGA_BD!$F:$F,$A32,IGA_BD!$V:$V)/($AA32+SUMIF(IGA_BD!$F:$F,$A32,IGA_BD!$V:$V)),"")</f>
        <v>1</v>
      </c>
      <c r="R32" s="143">
        <f>IFERROR(1-SUMIF(Grid_BD!$F:$F,$A32,Grid_BD!$X:$X)/($AA32+SUMIF(Grid_BD!$F:$F,$A32,Grid_BD!$X:$X)),"")</f>
        <v>1</v>
      </c>
      <c r="S32" s="121"/>
      <c r="T32" s="138"/>
      <c r="U32" s="139"/>
      <c r="V32" s="121"/>
      <c r="W32" s="140">
        <f>IFERROR(Table13[[#This Row],[Mtr_Net_Exp (KWh)]]/(24*AR32*1000),"")</f>
        <v>0.14358974358974358</v>
      </c>
      <c r="X32" s="121">
        <f>IFERROR(_xlfn.XLOOKUP($A32,Input_Raw!$A:$A,Input_Raw!$CF:$CF),"")</f>
        <v>271844</v>
      </c>
      <c r="Y32" s="121">
        <f>IFERROR(_xlfn.XLOOKUP($A32,Input_Raw!$A:$A,Input_Raw!$CZ:$CZ),"")</f>
        <v>268800</v>
      </c>
      <c r="Z32" s="121">
        <f>IFERROR(_xlfn.XLOOKUP($A32,Input_Raw!$A:$A,Input_Raw!$DA:$DA),"")</f>
        <v>0</v>
      </c>
      <c r="AA32" s="123">
        <f t="shared" si="2"/>
        <v>268800</v>
      </c>
      <c r="AB32" s="121">
        <f>IFERROR(_xlfn.XLOOKUP($A32,Input_Raw!$A:$A,Input_Raw!$DG:$DG),"")</f>
        <v>78</v>
      </c>
      <c r="AC32" s="141">
        <f>IFERROR(_xlfn.XLOOKUP($D32,'Modelling New'!$D:$D,'Modelling New'!$J:$J),"")</f>
        <v>5.6333333333333329</v>
      </c>
      <c r="AD32" s="123">
        <f>IFERROR(_xlfn.XLOOKUP($D32,'Modelling New'!$D:$D,'Modelling New'!$T:$T)*1000,"")</f>
        <v>340888.47260338557</v>
      </c>
      <c r="AE32" s="140"/>
      <c r="AF32" s="140">
        <f>IFERROR(_xlfn.XLOOKUP($D32,'Modelling New'!$D:$D,'Modelling New'!$W:$W),"")</f>
        <v>0.18209854305736409</v>
      </c>
      <c r="AG32" s="140">
        <f>IFERROR(_xlfn.XLOOKUP($D32,'Modelling New'!$D:$D,'Modelling New'!$AE:$AE),"")</f>
        <v>0.96029999999999993</v>
      </c>
      <c r="AH32" s="140">
        <f>IFERROR(_xlfn.XLOOKUP($D32,'Modelling New'!$D:$D,'Modelling New'!$AF:$AF),"")</f>
        <v>0.995</v>
      </c>
      <c r="AI32" s="121">
        <f>IFERROR(_xlfn.XLOOKUP($A32,Input_Raw!$A:$A,Input_Raw!$DE:$DE),"")</f>
        <v>271.83999999999997</v>
      </c>
      <c r="AJ32" s="121"/>
      <c r="AK32" s="121"/>
      <c r="AL32" s="121"/>
      <c r="AM32" s="121"/>
      <c r="AN32" s="142">
        <f>IFERROR(_xlfn.XLOOKUP($A32,Input_Raw!$A:$A,Input_Raw!$DB:$DB),"")</f>
        <v>1.1197598622739502E-2</v>
      </c>
      <c r="AO32" s="140">
        <f>IFERROR((_xlfn.XLOOKUP($A32,'WTG Reactive Power'!$A:$A,'WTG Reactive Power'!$AR:$AR))/X32/1000,"")</f>
        <v>2.2049410691425964E-5</v>
      </c>
      <c r="AP32" s="140">
        <f>IFERROR(_xlfn.XLOOKUP($D32,'Modelling New'!$D:$D,'Modelling New'!$AK:$AK),"")</f>
        <v>0.05</v>
      </c>
      <c r="AQ32" s="140">
        <f>IFERROR(_xlfn.XLOOKUP($D32,'Modelling New'!$D:$D,'Modelling New'!$AL:$AL),"")</f>
        <v>0.05</v>
      </c>
      <c r="AR32">
        <f>IFERROR(_xlfn.XLOOKUP($D32,'Modelling New'!$D:$D,'Modelling New'!$N:$N),"")</f>
        <v>78</v>
      </c>
    </row>
    <row r="33" spans="1:44">
      <c r="A33" s="134">
        <f t="shared" si="3"/>
        <v>45776</v>
      </c>
      <c r="B33" s="123">
        <f>YEAR(Table13[[#This Row],[Date]])+IF(MONTH(Table13[[#This Row],[Date]])&gt;=4,1,0)</f>
        <v>2026</v>
      </c>
      <c r="C33" s="121">
        <f>YEAR(Table13[[#This Row],[Date]])</f>
        <v>2025</v>
      </c>
      <c r="D33" s="135">
        <f>Table13[[#This Row],[Date]]-DAY(Table13[[#This Row],[Date]])+1</f>
        <v>45748</v>
      </c>
      <c r="E33" s="121">
        <f t="shared" si="0"/>
        <v>30</v>
      </c>
      <c r="F33" s="124"/>
      <c r="G33" s="125"/>
      <c r="H33" s="125"/>
      <c r="I33" s="125"/>
      <c r="J33" s="125"/>
      <c r="K33" s="136"/>
      <c r="L33" s="125"/>
      <c r="M33" s="125">
        <f>IFERROR(_xlfn.XLOOKUP($A33,Input_Raw!$A:$A,Input_Raw!CG:CG),"")</f>
        <v>4.056923076923078</v>
      </c>
      <c r="N33" s="125">
        <f>IFERROR(_xlfn.XLOOKUP($A33,Input_Raw!$A:$A,Input_Raw!CH:CH),"")</f>
        <v>0</v>
      </c>
      <c r="O33" s="137">
        <f t="shared" si="1"/>
        <v>0.94442033183744634</v>
      </c>
      <c r="P33" s="137">
        <f>IFERROR(1-SUMIF(WTG_BD!$F:$F,$A33,WTG_BD!$AA:$AA)/($AA33+SUMIF(WTG_BD!$F:$F,$A33,WTG_BD!$AA:$AA)),"")</f>
        <v>0.94442033183744634</v>
      </c>
      <c r="Q33" s="138">
        <f>IFERROR(1-SUMIF(IGA_BD!$F:$F,$A33,IGA_BD!$V:$V)/($AA33+SUMIF(IGA_BD!$F:$F,$A33,IGA_BD!$V:$V)),"")</f>
        <v>1</v>
      </c>
      <c r="R33" s="143">
        <f>IFERROR(1-SUMIF(Grid_BD!$F:$F,$A33,Grid_BD!$X:$X)/($AA33+SUMIF(Grid_BD!$F:$F,$A33,Grid_BD!$X:$X)),"")</f>
        <v>1</v>
      </c>
      <c r="S33" s="121"/>
      <c r="T33" s="138"/>
      <c r="U33" s="139"/>
      <c r="V33" s="121"/>
      <c r="W33" s="140">
        <f>IFERROR(Table13[[#This Row],[Mtr_Net_Exp (KWh)]]/(24*AR33*1000),"")</f>
        <v>0.14102564102564102</v>
      </c>
      <c r="X33" s="121">
        <f>IFERROR(_xlfn.XLOOKUP($A33,Input_Raw!$A:$A,Input_Raw!$CF:$CF),"")</f>
        <v>271570</v>
      </c>
      <c r="Y33" s="121">
        <f>IFERROR(_xlfn.XLOOKUP($A33,Input_Raw!$A:$A,Input_Raw!$CZ:$CZ),"")</f>
        <v>268800</v>
      </c>
      <c r="Z33" s="121">
        <f>IFERROR(_xlfn.XLOOKUP($A33,Input_Raw!$A:$A,Input_Raw!$DA:$DA),"")</f>
        <v>4800</v>
      </c>
      <c r="AA33" s="123">
        <f t="shared" si="2"/>
        <v>264000</v>
      </c>
      <c r="AB33" s="121">
        <f>IFERROR(_xlfn.XLOOKUP($A33,Input_Raw!$A:$A,Input_Raw!$DG:$DG),"")</f>
        <v>78</v>
      </c>
      <c r="AC33" s="141">
        <f>IFERROR(_xlfn.XLOOKUP($D33,'Modelling New'!$D:$D,'Modelling New'!$J:$J),"")</f>
        <v>5.6333333333333329</v>
      </c>
      <c r="AD33" s="123">
        <f>IFERROR(_xlfn.XLOOKUP($D33,'Modelling New'!$D:$D,'Modelling New'!$T:$T)*1000,"")</f>
        <v>340888.47260338557</v>
      </c>
      <c r="AE33" s="140"/>
      <c r="AF33" s="140">
        <f>IFERROR(_xlfn.XLOOKUP($D33,'Modelling New'!$D:$D,'Modelling New'!$W:$W),"")</f>
        <v>0.18209854305736409</v>
      </c>
      <c r="AG33" s="140">
        <f>IFERROR(_xlfn.XLOOKUP($D33,'Modelling New'!$D:$D,'Modelling New'!$AE:$AE),"")</f>
        <v>0.96029999999999993</v>
      </c>
      <c r="AH33" s="140">
        <f>IFERROR(_xlfn.XLOOKUP($D33,'Modelling New'!$D:$D,'Modelling New'!$AF:$AF),"")</f>
        <v>0.995</v>
      </c>
      <c r="AI33" s="121">
        <f>IFERROR(_xlfn.XLOOKUP($A33,Input_Raw!$A:$A,Input_Raw!$DE:$DE),"")</f>
        <v>271.54000000000002</v>
      </c>
      <c r="AJ33" s="121"/>
      <c r="AK33" s="121"/>
      <c r="AL33" s="121"/>
      <c r="AM33" s="121"/>
      <c r="AN33" s="142">
        <f>IFERROR(_xlfn.XLOOKUP($A33,Input_Raw!$A:$A,Input_Raw!$DB:$DB),"")</f>
        <v>1.0199948447913942E-2</v>
      </c>
      <c r="AO33" s="140">
        <f>IFERROR((_xlfn.XLOOKUP($A33,'WTG Reactive Power'!$A:$A,'WTG Reactive Power'!$AR:$AR))/X33/1000,"")</f>
        <v>2.6567735758736239E-5</v>
      </c>
      <c r="AP33" s="140">
        <f>IFERROR(_xlfn.XLOOKUP($D33,'Modelling New'!$D:$D,'Modelling New'!$AK:$AK),"")</f>
        <v>0.05</v>
      </c>
      <c r="AQ33" s="140">
        <f>IFERROR(_xlfn.XLOOKUP($D33,'Modelling New'!$D:$D,'Modelling New'!$AL:$AL),"")</f>
        <v>0.05</v>
      </c>
      <c r="AR33">
        <f>IFERROR(_xlfn.XLOOKUP($D33,'Modelling New'!$D:$D,'Modelling New'!$N:$N),"")</f>
        <v>78</v>
      </c>
    </row>
    <row r="34" spans="1:44">
      <c r="A34" s="134">
        <f t="shared" si="3"/>
        <v>45777</v>
      </c>
      <c r="B34" s="123">
        <f>YEAR(Table13[[#This Row],[Date]])+IF(MONTH(Table13[[#This Row],[Date]])&gt;=4,1,0)</f>
        <v>2026</v>
      </c>
      <c r="C34" s="121">
        <f>YEAR(Table13[[#This Row],[Date]])</f>
        <v>2025</v>
      </c>
      <c r="D34" s="135">
        <f>Table13[[#This Row],[Date]]-DAY(Table13[[#This Row],[Date]])+1</f>
        <v>45748</v>
      </c>
      <c r="E34" s="121">
        <f t="shared" si="0"/>
        <v>30</v>
      </c>
      <c r="F34" s="124"/>
      <c r="G34" s="125"/>
      <c r="H34" s="125"/>
      <c r="I34" s="125"/>
      <c r="J34" s="125"/>
      <c r="K34" s="136"/>
      <c r="L34" s="125"/>
      <c r="M34" s="125">
        <f>IFERROR(_xlfn.XLOOKUP($A34,Input_Raw!$A:$A,Input_Raw!CG:CG),"")</f>
        <v>5.9428205128205125</v>
      </c>
      <c r="N34" s="125">
        <f>IFERROR(_xlfn.XLOOKUP($A34,Input_Raw!$A:$A,Input_Raw!CH:CH),"")</f>
        <v>0</v>
      </c>
      <c r="O34" s="137">
        <f t="shared" si="1"/>
        <v>0.93000871528024676</v>
      </c>
      <c r="P34" s="137">
        <f>IFERROR(1-SUMIF(WTG_BD!$F:$F,$A34,WTG_BD!$AA:$AA)/($AA34+SUMIF(WTG_BD!$F:$F,$A34,WTG_BD!$AA:$AA)),"")</f>
        <v>0.93000871528024676</v>
      </c>
      <c r="Q34" s="138">
        <f>IFERROR(1-SUMIF(IGA_BD!$F:$F,$A34,IGA_BD!$V:$V)/($AA34+SUMIF(IGA_BD!$F:$F,$A34,IGA_BD!$V:$V)),"")</f>
        <v>1</v>
      </c>
      <c r="R34" s="143">
        <f>IFERROR(1-SUMIF(Grid_BD!$F:$F,$A34,Grid_BD!$X:$X)/($AA34+SUMIF(Grid_BD!$F:$F,$A34,Grid_BD!$X:$X)),"")</f>
        <v>1</v>
      </c>
      <c r="S34" s="121"/>
      <c r="T34" s="138"/>
      <c r="U34" s="139"/>
      <c r="V34" s="121"/>
      <c r="W34" s="140">
        <f>IFERROR(Table13[[#This Row],[Mtr_Net_Exp (KWh)]]/(24*AR34*1000),"")</f>
        <v>0.31474358974358974</v>
      </c>
      <c r="X34" s="121">
        <f>IFERROR(_xlfn.XLOOKUP($A34,Input_Raw!$A:$A,Input_Raw!$CF:$CF),"")</f>
        <v>590942</v>
      </c>
      <c r="Y34" s="121">
        <f>IFERROR(_xlfn.XLOOKUP($A34,Input_Raw!$A:$A,Input_Raw!$CZ:$CZ),"")</f>
        <v>589200</v>
      </c>
      <c r="Z34" s="121">
        <f>IFERROR(_xlfn.XLOOKUP($A34,Input_Raw!$A:$A,Input_Raw!$DA:$DA),"")</f>
        <v>0</v>
      </c>
      <c r="AA34" s="123">
        <f t="shared" si="2"/>
        <v>589200</v>
      </c>
      <c r="AB34" s="121">
        <f>IFERROR(_xlfn.XLOOKUP($A34,Input_Raw!$A:$A,Input_Raw!$DG:$DG),"")</f>
        <v>78</v>
      </c>
      <c r="AC34" s="141">
        <f>IFERROR(_xlfn.XLOOKUP($D34,'Modelling New'!$D:$D,'Modelling New'!$J:$J),"")</f>
        <v>5.6333333333333329</v>
      </c>
      <c r="AD34" s="123">
        <f>IFERROR(_xlfn.XLOOKUP($D34,'Modelling New'!$D:$D,'Modelling New'!$T:$T)*1000,"")</f>
        <v>340888.47260338557</v>
      </c>
      <c r="AE34" s="140"/>
      <c r="AF34" s="140">
        <f>IFERROR(_xlfn.XLOOKUP($D34,'Modelling New'!$D:$D,'Modelling New'!$W:$W),"")</f>
        <v>0.18209854305736409</v>
      </c>
      <c r="AG34" s="140">
        <f>IFERROR(_xlfn.XLOOKUP($D34,'Modelling New'!$D:$D,'Modelling New'!$AE:$AE),"")</f>
        <v>0.96029999999999993</v>
      </c>
      <c r="AH34" s="140">
        <f>IFERROR(_xlfn.XLOOKUP($D34,'Modelling New'!$D:$D,'Modelling New'!$AF:$AF),"")</f>
        <v>0.995</v>
      </c>
      <c r="AI34" s="121">
        <f>IFERROR(_xlfn.XLOOKUP($A34,Input_Raw!$A:$A,Input_Raw!$DE:$DE),"")</f>
        <v>590.94000000000005</v>
      </c>
      <c r="AJ34" s="121"/>
      <c r="AK34" s="121"/>
      <c r="AL34" s="121"/>
      <c r="AM34" s="121"/>
      <c r="AN34" s="142">
        <f>IFERROR(_xlfn.XLOOKUP($A34,Input_Raw!$A:$A,Input_Raw!$DB:$DB),"")</f>
        <v>2.9478358282200023E-3</v>
      </c>
      <c r="AO34" s="140">
        <f>IFERROR((_xlfn.XLOOKUP($A34,'WTG Reactive Power'!$A:$A,'WTG Reactive Power'!$AR:$AR))/X34/1000,"")</f>
        <v>4.0697733449306354E-6</v>
      </c>
      <c r="AP34" s="140">
        <f>IFERROR(_xlfn.XLOOKUP($D34,'Modelling New'!$D:$D,'Modelling New'!$AK:$AK),"")</f>
        <v>0.05</v>
      </c>
      <c r="AQ34" s="140">
        <f>IFERROR(_xlfn.XLOOKUP($D34,'Modelling New'!$D:$D,'Modelling New'!$AL:$AL),"")</f>
        <v>0.05</v>
      </c>
      <c r="AR34">
        <f>IFERROR(_xlfn.XLOOKUP($D34,'Modelling New'!$D:$D,'Modelling New'!$N:$N),"")</f>
        <v>78</v>
      </c>
    </row>
    <row r="35" spans="1:44">
      <c r="A35" s="134">
        <f t="shared" si="3"/>
        <v>45778</v>
      </c>
      <c r="B35" s="123">
        <f>YEAR(Table13[[#This Row],[Date]])+IF(MONTH(Table13[[#This Row],[Date]])&gt;=4,1,0)</f>
        <v>2026</v>
      </c>
      <c r="C35" s="121">
        <f>YEAR(Table13[[#This Row],[Date]])</f>
        <v>2025</v>
      </c>
      <c r="D35" s="135">
        <f>Table13[[#This Row],[Date]]-DAY(Table13[[#This Row],[Date]])+1</f>
        <v>45778</v>
      </c>
      <c r="E35" s="121">
        <f t="shared" si="0"/>
        <v>31</v>
      </c>
      <c r="F35" s="124"/>
      <c r="G35" s="125"/>
      <c r="H35" s="125"/>
      <c r="I35" s="125"/>
      <c r="J35" s="125"/>
      <c r="K35" s="136"/>
      <c r="L35" s="125"/>
      <c r="M35" s="125">
        <f>IFERROR(_xlfn.XLOOKUP($A35,Input_Raw!$A:$A,Input_Raw!CG:CG),"")</f>
        <v>5.8866666666666667</v>
      </c>
      <c r="N35" s="125">
        <f>IFERROR(_xlfn.XLOOKUP($A35,Input_Raw!$A:$A,Input_Raw!CH:CH),"")</f>
        <v>0</v>
      </c>
      <c r="O35" s="137">
        <f t="shared" si="1"/>
        <v>0.90989765915924115</v>
      </c>
      <c r="P35" s="137">
        <f>IFERROR(1-SUMIF(WTG_BD!$F:$F,$A35,WTG_BD!$AA:$AA)/($AA35+SUMIF(WTG_BD!$F:$F,$A35,WTG_BD!$AA:$AA)),"")</f>
        <v>0.92868713404960523</v>
      </c>
      <c r="Q35" s="138">
        <f>IFERROR(1-SUMIF(IGA_BD!$F:$F,$A35,IGA_BD!$V:$V)/($AA35+SUMIF(IGA_BD!$F:$F,$A35,IGA_BD!$V:$V)),"")</f>
        <v>0.97976770195099905</v>
      </c>
      <c r="R35" s="143">
        <f>IFERROR(1-SUMIF(Grid_BD!$F:$F,$A35,Grid_BD!$X:$X)/($AA35+SUMIF(Grid_BD!$F:$F,$A35,Grid_BD!$X:$X)),"")</f>
        <v>1</v>
      </c>
      <c r="S35" s="121"/>
      <c r="T35" s="138"/>
      <c r="U35" s="139"/>
      <c r="V35" s="121"/>
      <c r="W35" s="140">
        <f>IFERROR(Table13[[#This Row],[Mtr_Net_Exp (KWh)]]/(24*AR35*1000),"")</f>
        <v>0.31217948717948718</v>
      </c>
      <c r="X35" s="121">
        <f>IFERROR(_xlfn.XLOOKUP($A35,Input_Raw!$A:$A,Input_Raw!$CF:$CF),"")</f>
        <v>588285</v>
      </c>
      <c r="Y35" s="121">
        <f>IFERROR(_xlfn.XLOOKUP($A35,Input_Raw!$A:$A,Input_Raw!$CZ:$CZ),"")</f>
        <v>584400</v>
      </c>
      <c r="Z35" s="121">
        <f>IFERROR(_xlfn.XLOOKUP($A35,Input_Raw!$A:$A,Input_Raw!$DA:$DA),"")</f>
        <v>0</v>
      </c>
      <c r="AA35" s="123">
        <f t="shared" si="2"/>
        <v>584400</v>
      </c>
      <c r="AB35" s="121">
        <f>IFERROR(_xlfn.XLOOKUP($A35,Input_Raw!$A:$A,Input_Raw!$DG:$DG),"")</f>
        <v>78</v>
      </c>
      <c r="AC35" s="141">
        <f>IFERROR(_xlfn.XLOOKUP($D35,'Modelling New'!$D:$D,'Modelling New'!$J:$J),"")</f>
        <v>6.5666666666666664</v>
      </c>
      <c r="AD35" s="123">
        <f>IFERROR(_xlfn.XLOOKUP($D35,'Modelling New'!$D:$D,'Modelling New'!$T:$T)*1000,"")</f>
        <v>558388.39265938452</v>
      </c>
      <c r="AE35" s="140"/>
      <c r="AF35" s="140">
        <f>IFERROR(_xlfn.XLOOKUP($D35,'Modelling New'!$D:$D,'Modelling New'!$W:$W),"")</f>
        <v>0.29828439778813276</v>
      </c>
      <c r="AG35" s="140">
        <f>IFERROR(_xlfn.XLOOKUP($D35,'Modelling New'!$D:$D,'Modelling New'!$AE:$AE),"")</f>
        <v>0.96029999999999993</v>
      </c>
      <c r="AH35" s="140">
        <f>IFERROR(_xlfn.XLOOKUP($D35,'Modelling New'!$D:$D,'Modelling New'!$AF:$AF),"")</f>
        <v>0.995</v>
      </c>
      <c r="AI35" s="121">
        <f>IFERROR(_xlfn.XLOOKUP($A35,Input_Raw!$A:$A,Input_Raw!$DE:$DE),"")</f>
        <v>588.28</v>
      </c>
      <c r="AJ35" s="121"/>
      <c r="AK35" s="121"/>
      <c r="AL35" s="121"/>
      <c r="AM35" s="121"/>
      <c r="AN35" s="142">
        <f>IFERROR(_xlfn.XLOOKUP($A35,Input_Raw!$A:$A,Input_Raw!$DB:$DB),"")</f>
        <v>6.6039419669038368E-3</v>
      </c>
      <c r="AO35" s="140">
        <f>IFERROR((_xlfn.XLOOKUP($A35,'WTG Reactive Power'!$A:$A,'WTG Reactive Power'!$AR:$AR))/X35/1000,"")</f>
        <v>0</v>
      </c>
      <c r="AP35" s="140">
        <f>IFERROR(_xlfn.XLOOKUP($D35,'Modelling New'!$D:$D,'Modelling New'!$AK:$AK),"")</f>
        <v>0.05</v>
      </c>
      <c r="AQ35" s="140">
        <f>IFERROR(_xlfn.XLOOKUP($D35,'Modelling New'!$D:$D,'Modelling New'!$AL:$AL),"")</f>
        <v>0.05</v>
      </c>
      <c r="AR35">
        <f>IFERROR(_xlfn.XLOOKUP($D35,'Modelling New'!$D:$D,'Modelling New'!$N:$N),"")</f>
        <v>78</v>
      </c>
    </row>
    <row r="36" spans="1:44">
      <c r="A36" s="134">
        <f t="shared" si="3"/>
        <v>45779</v>
      </c>
      <c r="B36" s="123">
        <f>YEAR(Table13[[#This Row],[Date]])+IF(MONTH(Table13[[#This Row],[Date]])&gt;=4,1,0)</f>
        <v>2026</v>
      </c>
      <c r="C36" s="121">
        <f>YEAR(Table13[[#This Row],[Date]])</f>
        <v>2025</v>
      </c>
      <c r="D36" s="135">
        <f>Table13[[#This Row],[Date]]-DAY(Table13[[#This Row],[Date]])+1</f>
        <v>45778</v>
      </c>
      <c r="E36" s="121">
        <f t="shared" ref="E36:E99" si="4">DAY(EOMONTH(A36,0))</f>
        <v>31</v>
      </c>
      <c r="F36" s="124"/>
      <c r="G36" s="125"/>
      <c r="H36" s="125"/>
      <c r="I36" s="125"/>
      <c r="J36" s="125"/>
      <c r="K36" s="136"/>
      <c r="L36" s="125"/>
      <c r="M36" s="125">
        <f>IFERROR(_xlfn.XLOOKUP($A36,Input_Raw!$A:$A,Input_Raw!CG:CG),"")</f>
        <v>4.5097435897435885</v>
      </c>
      <c r="N36" s="125">
        <f>IFERROR(_xlfn.XLOOKUP($A36,Input_Raw!$A:$A,Input_Raw!CH:CH),"")</f>
        <v>0</v>
      </c>
      <c r="O36" s="137">
        <f t="shared" si="1"/>
        <v>0.92561881753486575</v>
      </c>
      <c r="P36" s="137">
        <f>IFERROR(1-SUMIF(WTG_BD!$F:$F,$A36,WTG_BD!$AA:$AA)/($AA36+SUMIF(WTG_BD!$F:$F,$A36,WTG_BD!$AA:$AA)),"")</f>
        <v>0.92561881753486575</v>
      </c>
      <c r="Q36" s="138">
        <f>IFERROR(1-SUMIF(IGA_BD!$F:$F,$A36,IGA_BD!$V:$V)/($AA36+SUMIF(IGA_BD!$F:$F,$A36,IGA_BD!$V:$V)),"")</f>
        <v>1</v>
      </c>
      <c r="R36" s="143">
        <f>IFERROR(1-SUMIF(Grid_BD!$F:$F,$A36,Grid_BD!$X:$X)/($AA36+SUMIF(Grid_BD!$F:$F,$A36,Grid_BD!$X:$X)),"")</f>
        <v>1</v>
      </c>
      <c r="S36" s="121"/>
      <c r="T36" s="138"/>
      <c r="U36" s="139"/>
      <c r="V36" s="121"/>
      <c r="W36" s="140">
        <f>IFERROR(Table13[[#This Row],[Mtr_Net_Exp (KWh)]]/(24*AR36*1000),"")</f>
        <v>0.25064102564102564</v>
      </c>
      <c r="X36" s="121">
        <f>IFERROR(_xlfn.XLOOKUP($A36,Input_Raw!$A:$A,Input_Raw!$CF:$CF),"")</f>
        <v>491493</v>
      </c>
      <c r="Y36" s="121">
        <f>IFERROR(_xlfn.XLOOKUP($A36,Input_Raw!$A:$A,Input_Raw!$CZ:$CZ),"")</f>
        <v>469200</v>
      </c>
      <c r="Z36" s="121">
        <f>IFERROR(_xlfn.XLOOKUP($A36,Input_Raw!$A:$A,Input_Raw!$DA:$DA),"")</f>
        <v>0</v>
      </c>
      <c r="AA36" s="123">
        <f t="shared" ref="AA36:AA99" si="5">IFERROR(Y36-Z36,"")</f>
        <v>469200</v>
      </c>
      <c r="AB36" s="121">
        <f>IFERROR(_xlfn.XLOOKUP($A36,Input_Raw!$A:$A,Input_Raw!$DG:$DG),"")</f>
        <v>78</v>
      </c>
      <c r="AC36" s="141">
        <f>IFERROR(_xlfn.XLOOKUP($D36,'Modelling New'!$D:$D,'Modelling New'!$J:$J),"")</f>
        <v>6.5666666666666664</v>
      </c>
      <c r="AD36" s="123">
        <f>IFERROR(_xlfn.XLOOKUP($D36,'Modelling New'!$D:$D,'Modelling New'!$T:$T)*1000,"")</f>
        <v>558388.39265938452</v>
      </c>
      <c r="AE36" s="140"/>
      <c r="AF36" s="140">
        <f>IFERROR(_xlfn.XLOOKUP($D36,'Modelling New'!$D:$D,'Modelling New'!$W:$W),"")</f>
        <v>0.29828439778813276</v>
      </c>
      <c r="AG36" s="140">
        <f>IFERROR(_xlfn.XLOOKUP($D36,'Modelling New'!$D:$D,'Modelling New'!$AE:$AE),"")</f>
        <v>0.96029999999999993</v>
      </c>
      <c r="AH36" s="140">
        <f>IFERROR(_xlfn.XLOOKUP($D36,'Modelling New'!$D:$D,'Modelling New'!$AF:$AF),"")</f>
        <v>0.995</v>
      </c>
      <c r="AI36" s="121">
        <f>IFERROR(_xlfn.XLOOKUP($A36,Input_Raw!$A:$A,Input_Raw!$DE:$DE),"")</f>
        <v>491.49</v>
      </c>
      <c r="AJ36" s="121"/>
      <c r="AK36" s="121"/>
      <c r="AL36" s="121"/>
      <c r="AM36" s="121"/>
      <c r="AN36" s="142">
        <f>IFERROR(_xlfn.XLOOKUP($A36,Input_Raw!$A:$A,Input_Raw!$DB:$DB),"")</f>
        <v>4.5357716183139996E-2</v>
      </c>
      <c r="AO36" s="140">
        <f>IFERROR((_xlfn.XLOOKUP($A36,'WTG Reactive Power'!$A:$A,'WTG Reactive Power'!$AR:$AR))/X36/1000,"")</f>
        <v>1.2195494137251193E-5</v>
      </c>
      <c r="AP36" s="140">
        <f>IFERROR(_xlfn.XLOOKUP($D36,'Modelling New'!$D:$D,'Modelling New'!$AK:$AK),"")</f>
        <v>0.05</v>
      </c>
      <c r="AQ36" s="140">
        <f>IFERROR(_xlfn.XLOOKUP($D36,'Modelling New'!$D:$D,'Modelling New'!$AL:$AL),"")</f>
        <v>0.05</v>
      </c>
      <c r="AR36">
        <f>IFERROR(_xlfn.XLOOKUP($D36,'Modelling New'!$D:$D,'Modelling New'!$N:$N),"")</f>
        <v>78</v>
      </c>
    </row>
    <row r="37" spans="1:44">
      <c r="A37" s="134">
        <f t="shared" si="3"/>
        <v>45780</v>
      </c>
      <c r="B37" s="123">
        <f>YEAR(Table13[[#This Row],[Date]])+IF(MONTH(Table13[[#This Row],[Date]])&gt;=4,1,0)</f>
        <v>2026</v>
      </c>
      <c r="C37" s="121">
        <f>YEAR(Table13[[#This Row],[Date]])</f>
        <v>2025</v>
      </c>
      <c r="D37" s="135">
        <f>Table13[[#This Row],[Date]]-DAY(Table13[[#This Row],[Date]])+1</f>
        <v>45778</v>
      </c>
      <c r="E37" s="121">
        <f t="shared" si="4"/>
        <v>31</v>
      </c>
      <c r="F37" s="124"/>
      <c r="G37" s="125"/>
      <c r="H37" s="125"/>
      <c r="I37" s="125"/>
      <c r="J37" s="125"/>
      <c r="K37" s="136"/>
      <c r="L37" s="125"/>
      <c r="M37" s="125">
        <f>IFERROR(_xlfn.XLOOKUP($A37,Input_Raw!$A:$A,Input_Raw!CG:CG),"")</f>
        <v>6.9187179487179487</v>
      </c>
      <c r="N37" s="125">
        <f>IFERROR(_xlfn.XLOOKUP($A37,Input_Raw!$A:$A,Input_Raw!CH:CH),"")</f>
        <v>0</v>
      </c>
      <c r="O37" s="137">
        <f t="shared" ref="O37:O100" si="6">IFERROR(P37*Q37,"")</f>
        <v>0.93552772471843271</v>
      </c>
      <c r="P37" s="137">
        <f>IFERROR(1-SUMIF(WTG_BD!$F:$F,$A37,WTG_BD!$AA:$AA)/($AA37+SUMIF(WTG_BD!$F:$F,$A37,WTG_BD!$AA:$AA)),"")</f>
        <v>0.93552772471843271</v>
      </c>
      <c r="Q37" s="138">
        <f>IFERROR(1-SUMIF(IGA_BD!$F:$F,$A37,IGA_BD!$V:$V)/($AA37+SUMIF(IGA_BD!$F:$F,$A37,IGA_BD!$V:$V)),"")</f>
        <v>1</v>
      </c>
      <c r="R37" s="143">
        <f>IFERROR(1-SUMIF(Grid_BD!$F:$F,$A37,Grid_BD!$X:$X)/($AA37+SUMIF(Grid_BD!$F:$F,$A37,Grid_BD!$X:$X)),"")</f>
        <v>1</v>
      </c>
      <c r="S37" s="121"/>
      <c r="T37" s="138"/>
      <c r="U37" s="139"/>
      <c r="V37" s="121"/>
      <c r="W37" s="140">
        <f>IFERROR(Table13[[#This Row],[Mtr_Net_Exp (KWh)]]/(24*AR37*1000),"")</f>
        <v>0.32756410256410257</v>
      </c>
      <c r="X37" s="121">
        <f>IFERROR(_xlfn.XLOOKUP($A37,Input_Raw!$A:$A,Input_Raw!$CF:$CF),"")</f>
        <v>616130</v>
      </c>
      <c r="Y37" s="121">
        <f>IFERROR(_xlfn.XLOOKUP($A37,Input_Raw!$A:$A,Input_Raw!$CZ:$CZ),"")</f>
        <v>614400</v>
      </c>
      <c r="Z37" s="121">
        <f>IFERROR(_xlfn.XLOOKUP($A37,Input_Raw!$A:$A,Input_Raw!$DA:$DA),"")</f>
        <v>1200</v>
      </c>
      <c r="AA37" s="123">
        <f t="shared" si="5"/>
        <v>613200</v>
      </c>
      <c r="AB37" s="121">
        <f>IFERROR(_xlfn.XLOOKUP($A37,Input_Raw!$A:$A,Input_Raw!$DG:$DG),"")</f>
        <v>78</v>
      </c>
      <c r="AC37" s="141">
        <f>IFERROR(_xlfn.XLOOKUP($D37,'Modelling New'!$D:$D,'Modelling New'!$J:$J),"")</f>
        <v>6.5666666666666664</v>
      </c>
      <c r="AD37" s="123">
        <f>IFERROR(_xlfn.XLOOKUP($D37,'Modelling New'!$D:$D,'Modelling New'!$T:$T)*1000,"")</f>
        <v>558388.39265938452</v>
      </c>
      <c r="AE37" s="140"/>
      <c r="AF37" s="140">
        <f>IFERROR(_xlfn.XLOOKUP($D37,'Modelling New'!$D:$D,'Modelling New'!$W:$W),"")</f>
        <v>0.29828439778813276</v>
      </c>
      <c r="AG37" s="140">
        <f>IFERROR(_xlfn.XLOOKUP($D37,'Modelling New'!$D:$D,'Modelling New'!$AE:$AE),"")</f>
        <v>0.96029999999999993</v>
      </c>
      <c r="AH37" s="140">
        <f>IFERROR(_xlfn.XLOOKUP($D37,'Modelling New'!$D:$D,'Modelling New'!$AF:$AF),"")</f>
        <v>0.995</v>
      </c>
      <c r="AI37" s="121">
        <f>IFERROR(_xlfn.XLOOKUP($A37,Input_Raw!$A:$A,Input_Raw!$DE:$DE),"")</f>
        <v>616.13</v>
      </c>
      <c r="AJ37" s="121"/>
      <c r="AK37" s="121"/>
      <c r="AL37" s="121"/>
      <c r="AM37" s="121"/>
      <c r="AN37" s="142">
        <f>IFERROR(_xlfn.XLOOKUP($A37,Input_Raw!$A:$A,Input_Raw!$DB:$DB),"")</f>
        <v>2.8078489929073136E-3</v>
      </c>
      <c r="AO37" s="140">
        <f>IFERROR((_xlfn.XLOOKUP($A37,'WTG Reactive Power'!$A:$A,'WTG Reactive Power'!$AR:$AR))/X37/1000,"")</f>
        <v>1.9216723743365848E-6</v>
      </c>
      <c r="AP37" s="140">
        <f>IFERROR(_xlfn.XLOOKUP($D37,'Modelling New'!$D:$D,'Modelling New'!$AK:$AK),"")</f>
        <v>0.05</v>
      </c>
      <c r="AQ37" s="140">
        <f>IFERROR(_xlfn.XLOOKUP($D37,'Modelling New'!$D:$D,'Modelling New'!$AL:$AL),"")</f>
        <v>0.05</v>
      </c>
      <c r="AR37">
        <f>IFERROR(_xlfn.XLOOKUP($D37,'Modelling New'!$D:$D,'Modelling New'!$N:$N),"")</f>
        <v>78</v>
      </c>
    </row>
    <row r="38" spans="1:44">
      <c r="A38" s="134">
        <f t="shared" ref="A38:A101" si="7">A37+1</f>
        <v>45781</v>
      </c>
      <c r="B38" s="123">
        <f>YEAR(Table13[[#This Row],[Date]])+IF(MONTH(Table13[[#This Row],[Date]])&gt;=4,1,0)</f>
        <v>2026</v>
      </c>
      <c r="C38" s="121">
        <f>YEAR(Table13[[#This Row],[Date]])</f>
        <v>2025</v>
      </c>
      <c r="D38" s="135">
        <f>Table13[[#This Row],[Date]]-DAY(Table13[[#This Row],[Date]])+1</f>
        <v>45778</v>
      </c>
      <c r="E38" s="121">
        <f t="shared" si="4"/>
        <v>31</v>
      </c>
      <c r="F38" s="124"/>
      <c r="G38" s="125"/>
      <c r="H38" s="125"/>
      <c r="I38" s="125"/>
      <c r="J38" s="125"/>
      <c r="K38" s="136"/>
      <c r="L38" s="125"/>
      <c r="M38" s="125">
        <f>IFERROR(_xlfn.XLOOKUP($A38,Input_Raw!$A:$A,Input_Raw!CG:CG),"")</f>
        <v>4.8151282051282047</v>
      </c>
      <c r="N38" s="125">
        <f>IFERROR(_xlfn.XLOOKUP($A38,Input_Raw!$A:$A,Input_Raw!CH:CH),"")</f>
        <v>0</v>
      </c>
      <c r="O38" s="137">
        <f t="shared" si="6"/>
        <v>0.92907467770644425</v>
      </c>
      <c r="P38" s="137">
        <f>IFERROR(1-SUMIF(WTG_BD!$F:$F,$A38,WTG_BD!$AA:$AA)/($AA38+SUMIF(WTG_BD!$F:$F,$A38,WTG_BD!$AA:$AA)),"")</f>
        <v>0.92907467770644425</v>
      </c>
      <c r="Q38" s="138">
        <f>IFERROR(1-SUMIF(IGA_BD!$F:$F,$A38,IGA_BD!$V:$V)/($AA38+SUMIF(IGA_BD!$F:$F,$A38,IGA_BD!$V:$V)),"")</f>
        <v>1</v>
      </c>
      <c r="R38" s="143">
        <f>IFERROR(1-SUMIF(Grid_BD!$F:$F,$A38,Grid_BD!$X:$X)/($AA38+SUMIF(Grid_BD!$F:$F,$A38,Grid_BD!$X:$X)),"")</f>
        <v>1</v>
      </c>
      <c r="S38" s="121"/>
      <c r="T38" s="138"/>
      <c r="U38" s="139"/>
      <c r="V38" s="121"/>
      <c r="W38" s="140">
        <f>IFERROR(Table13[[#This Row],[Mtr_Net_Exp (KWh)]]/(24*AR38*1000),"")</f>
        <v>0.21025641025641026</v>
      </c>
      <c r="X38" s="121">
        <f>IFERROR(_xlfn.XLOOKUP($A38,Input_Raw!$A:$A,Input_Raw!$CF:$CF),"")</f>
        <v>404176</v>
      </c>
      <c r="Y38" s="121">
        <f>IFERROR(_xlfn.XLOOKUP($A38,Input_Raw!$A:$A,Input_Raw!$CZ:$CZ),"")</f>
        <v>397200</v>
      </c>
      <c r="Z38" s="121">
        <f>IFERROR(_xlfn.XLOOKUP($A38,Input_Raw!$A:$A,Input_Raw!$DA:$DA),"")</f>
        <v>3600</v>
      </c>
      <c r="AA38" s="123">
        <f t="shared" si="5"/>
        <v>393600</v>
      </c>
      <c r="AB38" s="121">
        <f>IFERROR(_xlfn.XLOOKUP($A38,Input_Raw!$A:$A,Input_Raw!$DG:$DG),"")</f>
        <v>78</v>
      </c>
      <c r="AC38" s="141">
        <f>IFERROR(_xlfn.XLOOKUP($D38,'Modelling New'!$D:$D,'Modelling New'!$J:$J),"")</f>
        <v>6.5666666666666664</v>
      </c>
      <c r="AD38" s="123">
        <f>IFERROR(_xlfn.XLOOKUP($D38,'Modelling New'!$D:$D,'Modelling New'!$T:$T)*1000,"")</f>
        <v>558388.39265938452</v>
      </c>
      <c r="AE38" s="140"/>
      <c r="AF38" s="140">
        <f>IFERROR(_xlfn.XLOOKUP($D38,'Modelling New'!$D:$D,'Modelling New'!$W:$W),"")</f>
        <v>0.29828439778813276</v>
      </c>
      <c r="AG38" s="140">
        <f>IFERROR(_xlfn.XLOOKUP($D38,'Modelling New'!$D:$D,'Modelling New'!$AE:$AE),"")</f>
        <v>0.96029999999999993</v>
      </c>
      <c r="AH38" s="140">
        <f>IFERROR(_xlfn.XLOOKUP($D38,'Modelling New'!$D:$D,'Modelling New'!$AF:$AF),"")</f>
        <v>0.995</v>
      </c>
      <c r="AI38" s="121">
        <f>IFERROR(_xlfn.XLOOKUP($A38,Input_Raw!$A:$A,Input_Raw!$DE:$DE),"")</f>
        <v>404.17</v>
      </c>
      <c r="AJ38" s="121"/>
      <c r="AK38" s="121"/>
      <c r="AL38" s="121"/>
      <c r="AM38" s="121"/>
      <c r="AN38" s="142">
        <f>IFERROR(_xlfn.XLOOKUP($A38,Input_Raw!$A:$A,Input_Raw!$DB:$DB),"")</f>
        <v>1.7259807608566602E-2</v>
      </c>
      <c r="AO38" s="140">
        <f>IFERROR((_xlfn.XLOOKUP($A38,'WTG Reactive Power'!$A:$A,'WTG Reactive Power'!$AR:$AR))/X38/1000,"")</f>
        <v>5.9503780531253716E-6</v>
      </c>
      <c r="AP38" s="140">
        <f>IFERROR(_xlfn.XLOOKUP($D38,'Modelling New'!$D:$D,'Modelling New'!$AK:$AK),"")</f>
        <v>0.05</v>
      </c>
      <c r="AQ38" s="140">
        <f>IFERROR(_xlfn.XLOOKUP($D38,'Modelling New'!$D:$D,'Modelling New'!$AL:$AL),"")</f>
        <v>0.05</v>
      </c>
      <c r="AR38">
        <f>IFERROR(_xlfn.XLOOKUP($D38,'Modelling New'!$D:$D,'Modelling New'!$N:$N),"")</f>
        <v>78</v>
      </c>
    </row>
    <row r="39" spans="1:44">
      <c r="A39" s="134">
        <f t="shared" si="7"/>
        <v>45782</v>
      </c>
      <c r="B39" s="123">
        <f>YEAR(Table13[[#This Row],[Date]])+IF(MONTH(Table13[[#This Row],[Date]])&gt;=4,1,0)</f>
        <v>2026</v>
      </c>
      <c r="C39" s="121">
        <f>YEAR(Table13[[#This Row],[Date]])</f>
        <v>2025</v>
      </c>
      <c r="D39" s="135">
        <f>Table13[[#This Row],[Date]]-DAY(Table13[[#This Row],[Date]])+1</f>
        <v>45778</v>
      </c>
      <c r="E39" s="121">
        <f t="shared" si="4"/>
        <v>31</v>
      </c>
      <c r="F39" s="124"/>
      <c r="G39" s="125"/>
      <c r="H39" s="125"/>
      <c r="I39" s="125"/>
      <c r="J39" s="125"/>
      <c r="K39" s="136"/>
      <c r="L39" s="125"/>
      <c r="M39" s="125">
        <f>IFERROR(_xlfn.XLOOKUP($A39,Input_Raw!$A:$A,Input_Raw!CG:CG),"")</f>
        <v>4.056923076923078</v>
      </c>
      <c r="N39" s="125">
        <f>IFERROR(_xlfn.XLOOKUP($A39,Input_Raw!$A:$A,Input_Raw!CH:CH),"")</f>
        <v>0</v>
      </c>
      <c r="O39" s="137">
        <f t="shared" si="6"/>
        <v>0.910762387818014</v>
      </c>
      <c r="P39" s="137">
        <f>IFERROR(1-SUMIF(WTG_BD!$F:$F,$A39,WTG_BD!$AA:$AA)/($AA39+SUMIF(WTG_BD!$F:$F,$A39,WTG_BD!$AA:$AA)),"")</f>
        <v>0.910762387818014</v>
      </c>
      <c r="Q39" s="138">
        <f>IFERROR(1-SUMIF(IGA_BD!$F:$F,$A39,IGA_BD!$V:$V)/($AA39+SUMIF(IGA_BD!$F:$F,$A39,IGA_BD!$V:$V)),"")</f>
        <v>1</v>
      </c>
      <c r="R39" s="143">
        <f>IFERROR(1-SUMIF(Grid_BD!$F:$F,$A39,Grid_BD!$X:$X)/($AA39+SUMIF(Grid_BD!$F:$F,$A39,Grid_BD!$X:$X)),"")</f>
        <v>1</v>
      </c>
      <c r="S39" s="121"/>
      <c r="T39" s="138"/>
      <c r="U39" s="139"/>
      <c r="V39" s="121"/>
      <c r="W39" s="140">
        <f>IFERROR(Table13[[#This Row],[Mtr_Net_Exp (KWh)]]/(24*AR39*1000),"")</f>
        <v>0.14038461538461539</v>
      </c>
      <c r="X39" s="121">
        <f>IFERROR(_xlfn.XLOOKUP($A39,Input_Raw!$A:$A,Input_Raw!$CF:$CF),"")</f>
        <v>266316</v>
      </c>
      <c r="Y39" s="121">
        <f>IFERROR(_xlfn.XLOOKUP($A39,Input_Raw!$A:$A,Input_Raw!$CZ:$CZ),"")</f>
        <v>262800</v>
      </c>
      <c r="Z39" s="121">
        <f>IFERROR(_xlfn.XLOOKUP($A39,Input_Raw!$A:$A,Input_Raw!$DA:$DA),"")</f>
        <v>0</v>
      </c>
      <c r="AA39" s="123">
        <f t="shared" si="5"/>
        <v>262800</v>
      </c>
      <c r="AB39" s="121">
        <f>IFERROR(_xlfn.XLOOKUP($A39,Input_Raw!$A:$A,Input_Raw!$DG:$DG),"")</f>
        <v>78</v>
      </c>
      <c r="AC39" s="141">
        <f>IFERROR(_xlfn.XLOOKUP($D39,'Modelling New'!$D:$D,'Modelling New'!$J:$J),"")</f>
        <v>6.5666666666666664</v>
      </c>
      <c r="AD39" s="123">
        <f>IFERROR(_xlfn.XLOOKUP($D39,'Modelling New'!$D:$D,'Modelling New'!$T:$T)*1000,"")</f>
        <v>558388.39265938452</v>
      </c>
      <c r="AE39" s="140"/>
      <c r="AF39" s="140">
        <f>IFERROR(_xlfn.XLOOKUP($D39,'Modelling New'!$D:$D,'Modelling New'!$W:$W),"")</f>
        <v>0.29828439778813276</v>
      </c>
      <c r="AG39" s="140">
        <f>IFERROR(_xlfn.XLOOKUP($D39,'Modelling New'!$D:$D,'Modelling New'!$AE:$AE),"")</f>
        <v>0.96029999999999993</v>
      </c>
      <c r="AH39" s="140">
        <f>IFERROR(_xlfn.XLOOKUP($D39,'Modelling New'!$D:$D,'Modelling New'!$AF:$AF),"")</f>
        <v>0.995</v>
      </c>
      <c r="AI39" s="121">
        <f>IFERROR(_xlfn.XLOOKUP($A39,Input_Raw!$A:$A,Input_Raw!$DE:$DE),"")</f>
        <v>266.31</v>
      </c>
      <c r="AJ39" s="121"/>
      <c r="AK39" s="121"/>
      <c r="AL39" s="121"/>
      <c r="AM39" s="121"/>
      <c r="AN39" s="142">
        <f>IFERROR(_xlfn.XLOOKUP($A39,Input_Raw!$A:$A,Input_Raw!$DB:$DB),"")</f>
        <v>1.3202361104852844E-2</v>
      </c>
      <c r="AO39" s="140">
        <f>IFERROR((_xlfn.XLOOKUP($A39,'WTG Reactive Power'!$A:$A,'WTG Reactive Power'!$AR:$AR))/X39/1000,"")</f>
        <v>2.1898796917947101E-5</v>
      </c>
      <c r="AP39" s="140">
        <f>IFERROR(_xlfn.XLOOKUP($D39,'Modelling New'!$D:$D,'Modelling New'!$AK:$AK),"")</f>
        <v>0.05</v>
      </c>
      <c r="AQ39" s="140">
        <f>IFERROR(_xlfn.XLOOKUP($D39,'Modelling New'!$D:$D,'Modelling New'!$AL:$AL),"")</f>
        <v>0.05</v>
      </c>
      <c r="AR39">
        <f>IFERROR(_xlfn.XLOOKUP($D39,'Modelling New'!$D:$D,'Modelling New'!$N:$N),"")</f>
        <v>78</v>
      </c>
    </row>
    <row r="40" spans="1:44">
      <c r="A40" s="134">
        <f t="shared" si="7"/>
        <v>45783</v>
      </c>
      <c r="B40" s="123">
        <f>YEAR(Table13[[#This Row],[Date]])+IF(MONTH(Table13[[#This Row],[Date]])&gt;=4,1,0)</f>
        <v>2026</v>
      </c>
      <c r="C40" s="121">
        <f>YEAR(Table13[[#This Row],[Date]])</f>
        <v>2025</v>
      </c>
      <c r="D40" s="135">
        <f>Table13[[#This Row],[Date]]-DAY(Table13[[#This Row],[Date]])+1</f>
        <v>45778</v>
      </c>
      <c r="E40" s="121">
        <f t="shared" si="4"/>
        <v>31</v>
      </c>
      <c r="F40" s="124"/>
      <c r="G40" s="125"/>
      <c r="H40" s="125"/>
      <c r="I40" s="125"/>
      <c r="J40" s="125"/>
      <c r="K40" s="136"/>
      <c r="L40" s="125"/>
      <c r="M40" s="125">
        <f>IFERROR(_xlfn.XLOOKUP($A40,Input_Raw!$A:$A,Input_Raw!CG:CG),"")</f>
        <v>4.3910256410256414</v>
      </c>
      <c r="N40" s="125">
        <f>IFERROR(_xlfn.XLOOKUP($A40,Input_Raw!$A:$A,Input_Raw!CH:CH),"")</f>
        <v>0</v>
      </c>
      <c r="O40" s="137">
        <f t="shared" si="6"/>
        <v>0.92291518705242637</v>
      </c>
      <c r="P40" s="137">
        <f>IFERROR(1-SUMIF(WTG_BD!$F:$F,$A40,WTG_BD!$AA:$AA)/($AA40+SUMIF(WTG_BD!$F:$F,$A40,WTG_BD!$AA:$AA)),"")</f>
        <v>0.92373042880098932</v>
      </c>
      <c r="Q40" s="138">
        <f>IFERROR(1-SUMIF(IGA_BD!$F:$F,$A40,IGA_BD!$V:$V)/($AA40+SUMIF(IGA_BD!$F:$F,$A40,IGA_BD!$V:$V)),"")</f>
        <v>0.99911744625580734</v>
      </c>
      <c r="R40" s="143">
        <f>IFERROR(1-SUMIF(Grid_BD!$F:$F,$A40,Grid_BD!$X:$X)/($AA40+SUMIF(Grid_BD!$F:$F,$A40,Grid_BD!$X:$X)),"")</f>
        <v>1</v>
      </c>
      <c r="S40" s="121"/>
      <c r="T40" s="138"/>
      <c r="U40" s="139"/>
      <c r="V40" s="121"/>
      <c r="W40" s="140">
        <f>IFERROR(Table13[[#This Row],[Mtr_Net_Exp (KWh)]]/(24*AR40*1000),"")</f>
        <v>0.16025641025641027</v>
      </c>
      <c r="X40" s="121">
        <f>IFERROR(_xlfn.XLOOKUP($A40,Input_Raw!$A:$A,Input_Raw!$CF:$CF),"")</f>
        <v>306808</v>
      </c>
      <c r="Y40" s="121">
        <f>IFERROR(_xlfn.XLOOKUP($A40,Input_Raw!$A:$A,Input_Raw!$CZ:$CZ),"")</f>
        <v>304800</v>
      </c>
      <c r="Z40" s="121">
        <f>IFERROR(_xlfn.XLOOKUP($A40,Input_Raw!$A:$A,Input_Raw!$DA:$DA),"")</f>
        <v>4800</v>
      </c>
      <c r="AA40" s="123">
        <f t="shared" si="5"/>
        <v>300000</v>
      </c>
      <c r="AB40" s="121">
        <f>IFERROR(_xlfn.XLOOKUP($A40,Input_Raw!$A:$A,Input_Raw!$DG:$DG),"")</f>
        <v>78</v>
      </c>
      <c r="AC40" s="141">
        <f>IFERROR(_xlfn.XLOOKUP($D40,'Modelling New'!$D:$D,'Modelling New'!$J:$J),"")</f>
        <v>6.5666666666666664</v>
      </c>
      <c r="AD40" s="123">
        <f>IFERROR(_xlfn.XLOOKUP($D40,'Modelling New'!$D:$D,'Modelling New'!$T:$T)*1000,"")</f>
        <v>558388.39265938452</v>
      </c>
      <c r="AE40" s="140"/>
      <c r="AF40" s="140">
        <f>IFERROR(_xlfn.XLOOKUP($D40,'Modelling New'!$D:$D,'Modelling New'!$W:$W),"")</f>
        <v>0.29828439778813276</v>
      </c>
      <c r="AG40" s="140">
        <f>IFERROR(_xlfn.XLOOKUP($D40,'Modelling New'!$D:$D,'Modelling New'!$AE:$AE),"")</f>
        <v>0.96029999999999993</v>
      </c>
      <c r="AH40" s="140">
        <f>IFERROR(_xlfn.XLOOKUP($D40,'Modelling New'!$D:$D,'Modelling New'!$AF:$AF),"")</f>
        <v>0.995</v>
      </c>
      <c r="AI40" s="121">
        <f>IFERROR(_xlfn.XLOOKUP($A40,Input_Raw!$A:$A,Input_Raw!$DE:$DE),"")</f>
        <v>306.8</v>
      </c>
      <c r="AJ40" s="121"/>
      <c r="AK40" s="121"/>
      <c r="AL40" s="121"/>
      <c r="AM40" s="121"/>
      <c r="AN40" s="142">
        <f>IFERROR(_xlfn.XLOOKUP($A40,Input_Raw!$A:$A,Input_Raw!$DB:$DB),"")</f>
        <v>6.5448097833172847E-3</v>
      </c>
      <c r="AO40" s="140">
        <f>IFERROR((_xlfn.XLOOKUP($A40,'WTG Reactive Power'!$A:$A,'WTG Reactive Power'!$AR:$AR))/X40/1000,"")</f>
        <v>1.1733722719094678E-5</v>
      </c>
      <c r="AP40" s="140">
        <f>IFERROR(_xlfn.XLOOKUP($D40,'Modelling New'!$D:$D,'Modelling New'!$AK:$AK),"")</f>
        <v>0.05</v>
      </c>
      <c r="AQ40" s="140">
        <f>IFERROR(_xlfn.XLOOKUP($D40,'Modelling New'!$D:$D,'Modelling New'!$AL:$AL),"")</f>
        <v>0.05</v>
      </c>
      <c r="AR40">
        <f>IFERROR(_xlfn.XLOOKUP($D40,'Modelling New'!$D:$D,'Modelling New'!$N:$N),"")</f>
        <v>78</v>
      </c>
    </row>
    <row r="41" spans="1:44">
      <c r="A41" s="134">
        <f t="shared" si="7"/>
        <v>45784</v>
      </c>
      <c r="B41" s="123">
        <f>YEAR(Table13[[#This Row],[Date]])+IF(MONTH(Table13[[#This Row],[Date]])&gt;=4,1,0)</f>
        <v>2026</v>
      </c>
      <c r="C41" s="121">
        <f>YEAR(Table13[[#This Row],[Date]])</f>
        <v>2025</v>
      </c>
      <c r="D41" s="135">
        <f>Table13[[#This Row],[Date]]-DAY(Table13[[#This Row],[Date]])+1</f>
        <v>45778</v>
      </c>
      <c r="E41" s="121">
        <f t="shared" si="4"/>
        <v>31</v>
      </c>
      <c r="F41" s="124"/>
      <c r="G41" s="125"/>
      <c r="H41" s="125"/>
      <c r="I41" s="125"/>
      <c r="J41" s="125"/>
      <c r="K41" s="136"/>
      <c r="L41" s="125"/>
      <c r="M41" s="125">
        <f>IFERROR(_xlfn.XLOOKUP($A41,Input_Raw!$A:$A,Input_Raw!CG:CG),"")</f>
        <v>4.8151282051282047</v>
      </c>
      <c r="N41" s="125">
        <f>IFERROR(_xlfn.XLOOKUP($A41,Input_Raw!$A:$A,Input_Raw!CH:CH),"")</f>
        <v>0</v>
      </c>
      <c r="O41" s="137">
        <f t="shared" si="6"/>
        <v>0.92202489014423306</v>
      </c>
      <c r="P41" s="137">
        <f>IFERROR(1-SUMIF(WTG_BD!$F:$F,$A41,WTG_BD!$AA:$AA)/($AA41+SUMIF(WTG_BD!$F:$F,$A41,WTG_BD!$AA:$AA)),"")</f>
        <v>0.92202489014423306</v>
      </c>
      <c r="Q41" s="138">
        <f>IFERROR(1-SUMIF(IGA_BD!$F:$F,$A41,IGA_BD!$V:$V)/($AA41+SUMIF(IGA_BD!$F:$F,$A41,IGA_BD!$V:$V)),"")</f>
        <v>1</v>
      </c>
      <c r="R41" s="143">
        <f>IFERROR(1-SUMIF(Grid_BD!$F:$F,$A41,Grid_BD!$X:$X)/($AA41+SUMIF(Grid_BD!$F:$F,$A41,Grid_BD!$X:$X)),"")</f>
        <v>1</v>
      </c>
      <c r="S41" s="121"/>
      <c r="T41" s="138"/>
      <c r="U41" s="139"/>
      <c r="V41" s="121"/>
      <c r="W41" s="140">
        <f>IFERROR(Table13[[#This Row],[Mtr_Net_Exp (KWh)]]/(24*AR41*1000),"")</f>
        <v>0.17948717948717949</v>
      </c>
      <c r="X41" s="121">
        <f>IFERROR(_xlfn.XLOOKUP($A41,Input_Raw!$A:$A,Input_Raw!$CF:$CF),"")</f>
        <v>351123</v>
      </c>
      <c r="Y41" s="121">
        <f>IFERROR(_xlfn.XLOOKUP($A41,Input_Raw!$A:$A,Input_Raw!$CZ:$CZ),"")</f>
        <v>336000</v>
      </c>
      <c r="Z41" s="121">
        <f>IFERROR(_xlfn.XLOOKUP($A41,Input_Raw!$A:$A,Input_Raw!$DA:$DA),"")</f>
        <v>0</v>
      </c>
      <c r="AA41" s="123">
        <f t="shared" si="5"/>
        <v>336000</v>
      </c>
      <c r="AB41" s="121">
        <f>IFERROR(_xlfn.XLOOKUP($A41,Input_Raw!$A:$A,Input_Raw!$DG:$DG),"")</f>
        <v>78</v>
      </c>
      <c r="AC41" s="141">
        <f>IFERROR(_xlfn.XLOOKUP($D41,'Modelling New'!$D:$D,'Modelling New'!$J:$J),"")</f>
        <v>6.5666666666666664</v>
      </c>
      <c r="AD41" s="123">
        <f>IFERROR(_xlfn.XLOOKUP($D41,'Modelling New'!$D:$D,'Modelling New'!$T:$T)*1000,"")</f>
        <v>558388.39265938452</v>
      </c>
      <c r="AE41" s="140"/>
      <c r="AF41" s="140">
        <f>IFERROR(_xlfn.XLOOKUP($D41,'Modelling New'!$D:$D,'Modelling New'!$W:$W),"")</f>
        <v>0.29828439778813276</v>
      </c>
      <c r="AG41" s="140">
        <f>IFERROR(_xlfn.XLOOKUP($D41,'Modelling New'!$D:$D,'Modelling New'!$AE:$AE),"")</f>
        <v>0.96029999999999993</v>
      </c>
      <c r="AH41" s="140">
        <f>IFERROR(_xlfn.XLOOKUP($D41,'Modelling New'!$D:$D,'Modelling New'!$AF:$AF),"")</f>
        <v>0.995</v>
      </c>
      <c r="AI41" s="121">
        <f>IFERROR(_xlfn.XLOOKUP($A41,Input_Raw!$A:$A,Input_Raw!$DE:$DE),"")</f>
        <v>351.12</v>
      </c>
      <c r="AJ41" s="121"/>
      <c r="AK41" s="121"/>
      <c r="AL41" s="121"/>
      <c r="AM41" s="121"/>
      <c r="AN41" s="142">
        <f>IFERROR(_xlfn.XLOOKUP($A41,Input_Raw!$A:$A,Input_Raw!$DB:$DB),"")</f>
        <v>4.3070377047359498E-2</v>
      </c>
      <c r="AO41" s="140">
        <f>IFERROR((_xlfn.XLOOKUP($A41,'WTG Reactive Power'!$A:$A,'WTG Reactive Power'!$AR:$AR))/X41/1000,"")</f>
        <v>1.3698903233339884E-5</v>
      </c>
      <c r="AP41" s="140">
        <f>IFERROR(_xlfn.XLOOKUP($D41,'Modelling New'!$D:$D,'Modelling New'!$AK:$AK),"")</f>
        <v>0.05</v>
      </c>
      <c r="AQ41" s="140">
        <f>IFERROR(_xlfn.XLOOKUP($D41,'Modelling New'!$D:$D,'Modelling New'!$AL:$AL),"")</f>
        <v>0.05</v>
      </c>
      <c r="AR41">
        <f>IFERROR(_xlfn.XLOOKUP($D41,'Modelling New'!$D:$D,'Modelling New'!$N:$N),"")</f>
        <v>78</v>
      </c>
    </row>
    <row r="42" spans="1:44">
      <c r="A42" s="134">
        <f t="shared" si="7"/>
        <v>45785</v>
      </c>
      <c r="B42" s="123">
        <f>YEAR(Table13[[#This Row],[Date]])+IF(MONTH(Table13[[#This Row],[Date]])&gt;=4,1,0)</f>
        <v>2026</v>
      </c>
      <c r="C42" s="121">
        <f>YEAR(Table13[[#This Row],[Date]])</f>
        <v>2025</v>
      </c>
      <c r="D42" s="135">
        <f>Table13[[#This Row],[Date]]-DAY(Table13[[#This Row],[Date]])+1</f>
        <v>45778</v>
      </c>
      <c r="E42" s="121">
        <f t="shared" si="4"/>
        <v>31</v>
      </c>
      <c r="F42" s="124"/>
      <c r="G42" s="125"/>
      <c r="H42" s="125"/>
      <c r="I42" s="125"/>
      <c r="J42" s="125"/>
      <c r="K42" s="136"/>
      <c r="L42" s="125"/>
      <c r="M42" s="125">
        <f>IFERROR(_xlfn.XLOOKUP($A42,Input_Raw!$A:$A,Input_Raw!CG:CG),"")</f>
        <v>4.056923076923078</v>
      </c>
      <c r="N42" s="125">
        <f>IFERROR(_xlfn.XLOOKUP($A42,Input_Raw!$A:$A,Input_Raw!CH:CH),"")</f>
        <v>0</v>
      </c>
      <c r="O42" s="137">
        <f t="shared" si="6"/>
        <v>0.937766633305959</v>
      </c>
      <c r="P42" s="137">
        <f>IFERROR(1-SUMIF(WTG_BD!$F:$F,$A42,WTG_BD!$AA:$AA)/($AA42+SUMIF(WTG_BD!$F:$F,$A42,WTG_BD!$AA:$AA)),"")</f>
        <v>0.937766633305959</v>
      </c>
      <c r="Q42" s="138">
        <f>IFERROR(1-SUMIF(IGA_BD!$F:$F,$A42,IGA_BD!$V:$V)/($AA42+SUMIF(IGA_BD!$F:$F,$A42,IGA_BD!$V:$V)),"")</f>
        <v>1</v>
      </c>
      <c r="R42" s="143">
        <f>IFERROR(1-SUMIF(Grid_BD!$F:$F,$A42,Grid_BD!$X:$X)/($AA42+SUMIF(Grid_BD!$F:$F,$A42,Grid_BD!$X:$X)),"")</f>
        <v>1</v>
      </c>
      <c r="S42" s="121"/>
      <c r="T42" s="138"/>
      <c r="U42" s="139"/>
      <c r="V42" s="121"/>
      <c r="W42" s="140">
        <f>IFERROR(Table13[[#This Row],[Mtr_Net_Exp (KWh)]]/(24*AR42*1000),"")</f>
        <v>0.16602564102564102</v>
      </c>
      <c r="X42" s="121">
        <f>IFERROR(_xlfn.XLOOKUP($A42,Input_Raw!$A:$A,Input_Raw!$CF:$CF),"")</f>
        <v>315253</v>
      </c>
      <c r="Y42" s="121">
        <f>IFERROR(_xlfn.XLOOKUP($A42,Input_Raw!$A:$A,Input_Raw!$CZ:$CZ),"")</f>
        <v>310800</v>
      </c>
      <c r="Z42" s="121">
        <f>IFERROR(_xlfn.XLOOKUP($A42,Input_Raw!$A:$A,Input_Raw!$DA:$DA),"")</f>
        <v>0</v>
      </c>
      <c r="AA42" s="123">
        <f t="shared" si="5"/>
        <v>310800</v>
      </c>
      <c r="AB42" s="121">
        <f>IFERROR(_xlfn.XLOOKUP($A42,Input_Raw!$A:$A,Input_Raw!$DG:$DG),"")</f>
        <v>78</v>
      </c>
      <c r="AC42" s="141">
        <f>IFERROR(_xlfn.XLOOKUP($D42,'Modelling New'!$D:$D,'Modelling New'!$J:$J),"")</f>
        <v>6.5666666666666664</v>
      </c>
      <c r="AD42" s="123">
        <f>IFERROR(_xlfn.XLOOKUP($D42,'Modelling New'!$D:$D,'Modelling New'!$T:$T)*1000,"")</f>
        <v>558388.39265938452</v>
      </c>
      <c r="AE42" s="140"/>
      <c r="AF42" s="140">
        <f>IFERROR(_xlfn.XLOOKUP($D42,'Modelling New'!$D:$D,'Modelling New'!$W:$W),"")</f>
        <v>0.29828439778813276</v>
      </c>
      <c r="AG42" s="140">
        <f>IFERROR(_xlfn.XLOOKUP($D42,'Modelling New'!$D:$D,'Modelling New'!$AE:$AE),"")</f>
        <v>0.96029999999999993</v>
      </c>
      <c r="AH42" s="140">
        <f>IFERROR(_xlfn.XLOOKUP($D42,'Modelling New'!$D:$D,'Modelling New'!$AF:$AF),"")</f>
        <v>0.995</v>
      </c>
      <c r="AI42" s="121">
        <f>IFERROR(_xlfn.XLOOKUP($A42,Input_Raw!$A:$A,Input_Raw!$DE:$DE),"")</f>
        <v>315.25</v>
      </c>
      <c r="AJ42" s="121"/>
      <c r="AK42" s="121"/>
      <c r="AL42" s="121"/>
      <c r="AM42" s="121"/>
      <c r="AN42" s="142">
        <f>IFERROR(_xlfn.XLOOKUP($A42,Input_Raw!$A:$A,Input_Raw!$DB:$DB),"")</f>
        <v>1.4125162964349292E-2</v>
      </c>
      <c r="AO42" s="140">
        <f>IFERROR((_xlfn.XLOOKUP($A42,'WTG Reactive Power'!$A:$A,'WTG Reactive Power'!$AR:$AR))/X42/1000,"")</f>
        <v>1.1384507046721206E-5</v>
      </c>
      <c r="AP42" s="140">
        <f>IFERROR(_xlfn.XLOOKUP($D42,'Modelling New'!$D:$D,'Modelling New'!$AK:$AK),"")</f>
        <v>0.05</v>
      </c>
      <c r="AQ42" s="140">
        <f>IFERROR(_xlfn.XLOOKUP($D42,'Modelling New'!$D:$D,'Modelling New'!$AL:$AL),"")</f>
        <v>0.05</v>
      </c>
      <c r="AR42">
        <f>IFERROR(_xlfn.XLOOKUP($D42,'Modelling New'!$D:$D,'Modelling New'!$N:$N),"")</f>
        <v>78</v>
      </c>
    </row>
    <row r="43" spans="1:44">
      <c r="A43" s="134">
        <f t="shared" si="7"/>
        <v>45786</v>
      </c>
      <c r="B43" s="123">
        <f>YEAR(Table13[[#This Row],[Date]])+IF(MONTH(Table13[[#This Row],[Date]])&gt;=4,1,0)</f>
        <v>2026</v>
      </c>
      <c r="C43" s="121">
        <f>YEAR(Table13[[#This Row],[Date]])</f>
        <v>2025</v>
      </c>
      <c r="D43" s="135">
        <f>Table13[[#This Row],[Date]]-DAY(Table13[[#This Row],[Date]])+1</f>
        <v>45778</v>
      </c>
      <c r="E43" s="121">
        <f t="shared" si="4"/>
        <v>31</v>
      </c>
      <c r="F43" s="124"/>
      <c r="G43" s="125"/>
      <c r="H43" s="125"/>
      <c r="I43" s="125"/>
      <c r="J43" s="125"/>
      <c r="K43" s="136"/>
      <c r="L43" s="125"/>
      <c r="M43" s="125">
        <f>IFERROR(_xlfn.XLOOKUP($A43,Input_Raw!$A:$A,Input_Raw!CG:CG),"")</f>
        <v>3.885204939707056</v>
      </c>
      <c r="N43" s="125">
        <f>IFERROR(_xlfn.XLOOKUP($A43,Input_Raw!$A:$A,Input_Raw!CH:CH),"")</f>
        <v>0</v>
      </c>
      <c r="O43" s="137">
        <f t="shared" si="6"/>
        <v>0.93011290239716971</v>
      </c>
      <c r="P43" s="137">
        <f>IFERROR(1-SUMIF(WTG_BD!$F:$F,$A43,WTG_BD!$AA:$AA)/($AA43+SUMIF(WTG_BD!$F:$F,$A43,WTG_BD!$AA:$AA)),"")</f>
        <v>0.93011290239716971</v>
      </c>
      <c r="Q43" s="138">
        <f>IFERROR(1-SUMIF(IGA_BD!$F:$F,$A43,IGA_BD!$V:$V)/($AA43+SUMIF(IGA_BD!$F:$F,$A43,IGA_BD!$V:$V)),"")</f>
        <v>1</v>
      </c>
      <c r="R43" s="143">
        <f>IFERROR(1-SUMIF(Grid_BD!$F:$F,$A43,Grid_BD!$X:$X)/($AA43+SUMIF(Grid_BD!$F:$F,$A43,Grid_BD!$X:$X)),"")</f>
        <v>1</v>
      </c>
      <c r="S43" s="121"/>
      <c r="T43" s="138"/>
      <c r="U43" s="139"/>
      <c r="V43" s="121"/>
      <c r="W43" s="140">
        <f>IFERROR(Table13[[#This Row],[Mtr_Net_Exp (KWh)]]/(24*AR43*1000),"")</f>
        <v>7.3076923076923081E-2</v>
      </c>
      <c r="X43" s="121">
        <f>IFERROR(_xlfn.XLOOKUP($A43,Input_Raw!$A:$A,Input_Raw!$CF:$CF),"")</f>
        <v>144826</v>
      </c>
      <c r="Y43" s="121">
        <f>IFERROR(_xlfn.XLOOKUP($A43,Input_Raw!$A:$A,Input_Raw!$CZ:$CZ),"")</f>
        <v>141600</v>
      </c>
      <c r="Z43" s="121">
        <f>IFERROR(_xlfn.XLOOKUP($A43,Input_Raw!$A:$A,Input_Raw!$DA:$DA),"")</f>
        <v>4800</v>
      </c>
      <c r="AA43" s="123">
        <f t="shared" si="5"/>
        <v>136800</v>
      </c>
      <c r="AB43" s="121">
        <f>IFERROR(_xlfn.XLOOKUP($A43,Input_Raw!$A:$A,Input_Raw!$DG:$DG),"")</f>
        <v>78</v>
      </c>
      <c r="AC43" s="141">
        <f>IFERROR(_xlfn.XLOOKUP($D43,'Modelling New'!$D:$D,'Modelling New'!$J:$J),"")</f>
        <v>6.5666666666666664</v>
      </c>
      <c r="AD43" s="123">
        <f>IFERROR(_xlfn.XLOOKUP($D43,'Modelling New'!$D:$D,'Modelling New'!$T:$T)*1000,"")</f>
        <v>558388.39265938452</v>
      </c>
      <c r="AE43" s="140"/>
      <c r="AF43" s="140">
        <f>IFERROR(_xlfn.XLOOKUP($D43,'Modelling New'!$D:$D,'Modelling New'!$W:$W),"")</f>
        <v>0.29828439778813276</v>
      </c>
      <c r="AG43" s="140">
        <f>IFERROR(_xlfn.XLOOKUP($D43,'Modelling New'!$D:$D,'Modelling New'!$AE:$AE),"")</f>
        <v>0.96029999999999993</v>
      </c>
      <c r="AH43" s="140">
        <f>IFERROR(_xlfn.XLOOKUP($D43,'Modelling New'!$D:$D,'Modelling New'!$AF:$AF),"")</f>
        <v>0.995</v>
      </c>
      <c r="AI43" s="121">
        <f>IFERROR(_xlfn.XLOOKUP($A43,Input_Raw!$A:$A,Input_Raw!$DE:$DE),"")</f>
        <v>144.82</v>
      </c>
      <c r="AJ43" s="121"/>
      <c r="AK43" s="121"/>
      <c r="AL43" s="121"/>
      <c r="AM43" s="121"/>
      <c r="AN43" s="142">
        <f>IFERROR(_xlfn.XLOOKUP($A43,Input_Raw!$A:$A,Input_Raw!$DB:$DB),"")</f>
        <v>2.2275005869111908E-2</v>
      </c>
      <c r="AO43" s="140">
        <f>IFERROR((_xlfn.XLOOKUP($A43,'WTG Reactive Power'!$A:$A,'WTG Reactive Power'!$AR:$AR))/X43/1000,"")</f>
        <v>1.0781213318050627E-4</v>
      </c>
      <c r="AP43" s="140">
        <f>IFERROR(_xlfn.XLOOKUP($D43,'Modelling New'!$D:$D,'Modelling New'!$AK:$AK),"")</f>
        <v>0.05</v>
      </c>
      <c r="AQ43" s="140">
        <f>IFERROR(_xlfn.XLOOKUP($D43,'Modelling New'!$D:$D,'Modelling New'!$AL:$AL),"")</f>
        <v>0.05</v>
      </c>
      <c r="AR43">
        <f>IFERROR(_xlfn.XLOOKUP($D43,'Modelling New'!$D:$D,'Modelling New'!$N:$N),"")</f>
        <v>78</v>
      </c>
    </row>
    <row r="44" spans="1:44">
      <c r="A44" s="134">
        <f t="shared" si="7"/>
        <v>45787</v>
      </c>
      <c r="B44" s="123">
        <f>YEAR(Table13[[#This Row],[Date]])+IF(MONTH(Table13[[#This Row],[Date]])&gt;=4,1,0)</f>
        <v>2026</v>
      </c>
      <c r="C44" s="121">
        <f>YEAR(Table13[[#This Row],[Date]])</f>
        <v>2025</v>
      </c>
      <c r="D44" s="135">
        <f>Table13[[#This Row],[Date]]-DAY(Table13[[#This Row],[Date]])+1</f>
        <v>45778</v>
      </c>
      <c r="E44" s="121">
        <f t="shared" si="4"/>
        <v>31</v>
      </c>
      <c r="F44" s="124"/>
      <c r="G44" s="125"/>
      <c r="H44" s="125"/>
      <c r="I44" s="125"/>
      <c r="J44" s="125"/>
      <c r="K44" s="136"/>
      <c r="L44" s="125"/>
      <c r="M44" s="125">
        <f>IFERROR(_xlfn.XLOOKUP($A44,Input_Raw!$A:$A,Input_Raw!CG:CG),"")</f>
        <v>4.2369230769230759</v>
      </c>
      <c r="N44" s="125">
        <f>IFERROR(_xlfn.XLOOKUP($A44,Input_Raw!$A:$A,Input_Raw!CH:CH),"")</f>
        <v>0</v>
      </c>
      <c r="O44" s="137">
        <f t="shared" si="6"/>
        <v>0.93814888254982598</v>
      </c>
      <c r="P44" s="137">
        <f>IFERROR(1-SUMIF(WTG_BD!$F:$F,$A44,WTG_BD!$AA:$AA)/($AA44+SUMIF(WTG_BD!$F:$F,$A44,WTG_BD!$AA:$AA)),"")</f>
        <v>0.93814888254982598</v>
      </c>
      <c r="Q44" s="138">
        <f>IFERROR(1-SUMIF(IGA_BD!$F:$F,$A44,IGA_BD!$V:$V)/($AA44+SUMIF(IGA_BD!$F:$F,$A44,IGA_BD!$V:$V)),"")</f>
        <v>1</v>
      </c>
      <c r="R44" s="143">
        <f>IFERROR(1-SUMIF(Grid_BD!$F:$F,$A44,Grid_BD!$X:$X)/($AA44+SUMIF(Grid_BD!$F:$F,$A44,Grid_BD!$X:$X)),"")</f>
        <v>1</v>
      </c>
      <c r="S44" s="121"/>
      <c r="T44" s="138"/>
      <c r="U44" s="139"/>
      <c r="V44" s="121"/>
      <c r="W44" s="140">
        <f>IFERROR(Table13[[#This Row],[Mtr_Net_Exp (KWh)]]/(24*AR44*1000),"")</f>
        <v>0.10064102564102564</v>
      </c>
      <c r="X44" s="121">
        <f>IFERROR(_xlfn.XLOOKUP($A44,Input_Raw!$A:$A,Input_Raw!$CF:$CF),"")</f>
        <v>194224</v>
      </c>
      <c r="Y44" s="121">
        <f>IFERROR(_xlfn.XLOOKUP($A44,Input_Raw!$A:$A,Input_Raw!$CZ:$CZ),"")</f>
        <v>192000</v>
      </c>
      <c r="Z44" s="121">
        <f>IFERROR(_xlfn.XLOOKUP($A44,Input_Raw!$A:$A,Input_Raw!$DA:$DA),"")</f>
        <v>3600</v>
      </c>
      <c r="AA44" s="123">
        <f t="shared" si="5"/>
        <v>188400</v>
      </c>
      <c r="AB44" s="121">
        <f>IFERROR(_xlfn.XLOOKUP($A44,Input_Raw!$A:$A,Input_Raw!$DG:$DG),"")</f>
        <v>78</v>
      </c>
      <c r="AC44" s="141">
        <f>IFERROR(_xlfn.XLOOKUP($D44,'Modelling New'!$D:$D,'Modelling New'!$J:$J),"")</f>
        <v>6.5666666666666664</v>
      </c>
      <c r="AD44" s="123">
        <f>IFERROR(_xlfn.XLOOKUP($D44,'Modelling New'!$D:$D,'Modelling New'!$T:$T)*1000,"")</f>
        <v>558388.39265938452</v>
      </c>
      <c r="AE44" s="140"/>
      <c r="AF44" s="140">
        <f>IFERROR(_xlfn.XLOOKUP($D44,'Modelling New'!$D:$D,'Modelling New'!$W:$W),"")</f>
        <v>0.29828439778813276</v>
      </c>
      <c r="AG44" s="140">
        <f>IFERROR(_xlfn.XLOOKUP($D44,'Modelling New'!$D:$D,'Modelling New'!$AE:$AE),"")</f>
        <v>0.96029999999999993</v>
      </c>
      <c r="AH44" s="140">
        <f>IFERROR(_xlfn.XLOOKUP($D44,'Modelling New'!$D:$D,'Modelling New'!$AF:$AF),"")</f>
        <v>0.995</v>
      </c>
      <c r="AI44" s="121">
        <f>IFERROR(_xlfn.XLOOKUP($A44,Input_Raw!$A:$A,Input_Raw!$DE:$DE),"")</f>
        <v>194.22</v>
      </c>
      <c r="AJ44" s="121"/>
      <c r="AK44" s="121"/>
      <c r="AL44" s="121"/>
      <c r="AM44" s="121"/>
      <c r="AN44" s="142">
        <f>IFERROR(_xlfn.XLOOKUP($A44,Input_Raw!$A:$A,Input_Raw!$DB:$DB),"")</f>
        <v>1.1450696103468161E-2</v>
      </c>
      <c r="AO44" s="140">
        <f>IFERROR((_xlfn.XLOOKUP($A44,'WTG Reactive Power'!$A:$A,'WTG Reactive Power'!$AR:$AR))/X44/1000,"")</f>
        <v>5.5435991432572697E-5</v>
      </c>
      <c r="AP44" s="140">
        <f>IFERROR(_xlfn.XLOOKUP($D44,'Modelling New'!$D:$D,'Modelling New'!$AK:$AK),"")</f>
        <v>0.05</v>
      </c>
      <c r="AQ44" s="140">
        <f>IFERROR(_xlfn.XLOOKUP($D44,'Modelling New'!$D:$D,'Modelling New'!$AL:$AL),"")</f>
        <v>0.05</v>
      </c>
      <c r="AR44">
        <f>IFERROR(_xlfn.XLOOKUP($D44,'Modelling New'!$D:$D,'Modelling New'!$N:$N),"")</f>
        <v>78</v>
      </c>
    </row>
    <row r="45" spans="1:44">
      <c r="A45" s="134">
        <f t="shared" si="7"/>
        <v>45788</v>
      </c>
      <c r="B45" s="123">
        <f>YEAR(Table13[[#This Row],[Date]])+IF(MONTH(Table13[[#This Row],[Date]])&gt;=4,1,0)</f>
        <v>2026</v>
      </c>
      <c r="C45" s="121">
        <f>YEAR(Table13[[#This Row],[Date]])</f>
        <v>2025</v>
      </c>
      <c r="D45" s="135">
        <f>Table13[[#This Row],[Date]]-DAY(Table13[[#This Row],[Date]])+1</f>
        <v>45778</v>
      </c>
      <c r="E45" s="121">
        <f t="shared" si="4"/>
        <v>31</v>
      </c>
      <c r="F45" s="124"/>
      <c r="G45" s="125"/>
      <c r="H45" s="125"/>
      <c r="I45" s="125"/>
      <c r="J45" s="125"/>
      <c r="K45" s="136"/>
      <c r="L45" s="125"/>
      <c r="M45" s="125">
        <f>IFERROR(_xlfn.XLOOKUP($A45,Input_Raw!$A:$A,Input_Raw!CG:CG),"")</f>
        <v>4.8151282051282047</v>
      </c>
      <c r="N45" s="125">
        <f>IFERROR(_xlfn.XLOOKUP($A45,Input_Raw!$A:$A,Input_Raw!CH:CH),"")</f>
        <v>0</v>
      </c>
      <c r="O45" s="137">
        <f t="shared" si="6"/>
        <v>0.90736641589653733</v>
      </c>
      <c r="P45" s="137">
        <f>IFERROR(1-SUMIF(WTG_BD!$F:$F,$A45,WTG_BD!$AA:$AA)/($AA45+SUMIF(WTG_BD!$F:$F,$A45,WTG_BD!$AA:$AA)),"")</f>
        <v>0.90736641589653733</v>
      </c>
      <c r="Q45" s="138">
        <f>IFERROR(1-SUMIF(IGA_BD!$F:$F,$A45,IGA_BD!$V:$V)/($AA45+SUMIF(IGA_BD!$F:$F,$A45,IGA_BD!$V:$V)),"")</f>
        <v>1</v>
      </c>
      <c r="R45" s="143">
        <f>IFERROR(1-SUMIF(Grid_BD!$F:$F,$A45,Grid_BD!$X:$X)/($AA45+SUMIF(Grid_BD!$F:$F,$A45,Grid_BD!$X:$X)),"")</f>
        <v>1</v>
      </c>
      <c r="S45" s="121"/>
      <c r="T45" s="138"/>
      <c r="U45" s="139"/>
      <c r="V45" s="121"/>
      <c r="W45" s="140">
        <f>IFERROR(Table13[[#This Row],[Mtr_Net_Exp (KWh)]]/(24*AR45*1000),"")</f>
        <v>0.17820512820512821</v>
      </c>
      <c r="X45" s="121">
        <f>IFERROR(_xlfn.XLOOKUP($A45,Input_Raw!$A:$A,Input_Raw!$CF:$CF),"")</f>
        <v>338208</v>
      </c>
      <c r="Y45" s="121">
        <f>IFERROR(_xlfn.XLOOKUP($A45,Input_Raw!$A:$A,Input_Raw!$CZ:$CZ),"")</f>
        <v>334800</v>
      </c>
      <c r="Z45" s="121">
        <f>IFERROR(_xlfn.XLOOKUP($A45,Input_Raw!$A:$A,Input_Raw!$DA:$DA),"")</f>
        <v>1200</v>
      </c>
      <c r="AA45" s="123">
        <f t="shared" si="5"/>
        <v>333600</v>
      </c>
      <c r="AB45" s="121">
        <f>IFERROR(_xlfn.XLOOKUP($A45,Input_Raw!$A:$A,Input_Raw!$DG:$DG),"")</f>
        <v>78</v>
      </c>
      <c r="AC45" s="141">
        <f>IFERROR(_xlfn.XLOOKUP($D45,'Modelling New'!$D:$D,'Modelling New'!$J:$J),"")</f>
        <v>6.5666666666666664</v>
      </c>
      <c r="AD45" s="123">
        <f>IFERROR(_xlfn.XLOOKUP($D45,'Modelling New'!$D:$D,'Modelling New'!$T:$T)*1000,"")</f>
        <v>558388.39265938452</v>
      </c>
      <c r="AE45" s="140"/>
      <c r="AF45" s="140">
        <f>IFERROR(_xlfn.XLOOKUP($D45,'Modelling New'!$D:$D,'Modelling New'!$W:$W),"")</f>
        <v>0.29828439778813276</v>
      </c>
      <c r="AG45" s="140">
        <f>IFERROR(_xlfn.XLOOKUP($D45,'Modelling New'!$D:$D,'Modelling New'!$AE:$AE),"")</f>
        <v>0.96029999999999993</v>
      </c>
      <c r="AH45" s="140">
        <f>IFERROR(_xlfn.XLOOKUP($D45,'Modelling New'!$D:$D,'Modelling New'!$AF:$AF),"")</f>
        <v>0.995</v>
      </c>
      <c r="AI45" s="121">
        <f>IFERROR(_xlfn.XLOOKUP($A45,Input_Raw!$A:$A,Input_Raw!$DE:$DE),"")</f>
        <v>338.2</v>
      </c>
      <c r="AJ45" s="121"/>
      <c r="AK45" s="121"/>
      <c r="AL45" s="121"/>
      <c r="AM45" s="121"/>
      <c r="AN45" s="142">
        <f>IFERROR(_xlfn.XLOOKUP($A45,Input_Raw!$A:$A,Input_Raw!$DB:$DB),"")</f>
        <v>1.0076639227930784E-2</v>
      </c>
      <c r="AO45" s="140">
        <f>IFERROR((_xlfn.XLOOKUP($A45,'WTG Reactive Power'!$A:$A,'WTG Reactive Power'!$AR:$AR))/X45/1000,"")</f>
        <v>1.772282145898382E-5</v>
      </c>
      <c r="AP45" s="140">
        <f>IFERROR(_xlfn.XLOOKUP($D45,'Modelling New'!$D:$D,'Modelling New'!$AK:$AK),"")</f>
        <v>0.05</v>
      </c>
      <c r="AQ45" s="140">
        <f>IFERROR(_xlfn.XLOOKUP($D45,'Modelling New'!$D:$D,'Modelling New'!$AL:$AL),"")</f>
        <v>0.05</v>
      </c>
      <c r="AR45">
        <f>IFERROR(_xlfn.XLOOKUP($D45,'Modelling New'!$D:$D,'Modelling New'!$N:$N),"")</f>
        <v>78</v>
      </c>
    </row>
    <row r="46" spans="1:44">
      <c r="A46" s="134">
        <f t="shared" si="7"/>
        <v>45789</v>
      </c>
      <c r="B46" s="123">
        <f>YEAR(Table13[[#This Row],[Date]])+IF(MONTH(Table13[[#This Row],[Date]])&gt;=4,1,0)</f>
        <v>2026</v>
      </c>
      <c r="C46" s="121">
        <f>YEAR(Table13[[#This Row],[Date]])</f>
        <v>2025</v>
      </c>
      <c r="D46" s="135">
        <f>Table13[[#This Row],[Date]]-DAY(Table13[[#This Row],[Date]])+1</f>
        <v>45778</v>
      </c>
      <c r="E46" s="121">
        <f t="shared" si="4"/>
        <v>31</v>
      </c>
      <c r="F46" s="124"/>
      <c r="G46" s="125"/>
      <c r="H46" s="125"/>
      <c r="I46" s="125"/>
      <c r="J46" s="125"/>
      <c r="K46" s="136"/>
      <c r="L46" s="125"/>
      <c r="M46" s="125">
        <f>IFERROR(_xlfn.XLOOKUP($A46,Input_Raw!$A:$A,Input_Raw!CG:CG),"")</f>
        <v>3.5474358974358982</v>
      </c>
      <c r="N46" s="125">
        <f>IFERROR(_xlfn.XLOOKUP($A46,Input_Raw!$A:$A,Input_Raw!CH:CH),"")</f>
        <v>0</v>
      </c>
      <c r="O46" s="137">
        <f t="shared" si="6"/>
        <v>0.88036995855850975</v>
      </c>
      <c r="P46" s="137">
        <f>IFERROR(1-SUMIF(WTG_BD!$F:$F,$A46,WTG_BD!$AA:$AA)/($AA46+SUMIF(WTG_BD!$F:$F,$A46,WTG_BD!$AA:$AA)),"")</f>
        <v>0.88311103718405826</v>
      </c>
      <c r="Q46" s="138">
        <f>IFERROR(1-SUMIF(IGA_BD!$F:$F,$A46,IGA_BD!$V:$V)/($AA46+SUMIF(IGA_BD!$F:$F,$A46,IGA_BD!$V:$V)),"")</f>
        <v>0.99689611100967679</v>
      </c>
      <c r="R46" s="143">
        <f>IFERROR(1-SUMIF(Grid_BD!$F:$F,$A46,Grid_BD!$X:$X)/($AA46+SUMIF(Grid_BD!$F:$F,$A46,Grid_BD!$X:$X)),"")</f>
        <v>1</v>
      </c>
      <c r="S46" s="121"/>
      <c r="T46" s="138"/>
      <c r="U46" s="139"/>
      <c r="V46" s="121"/>
      <c r="W46" s="140">
        <f>IFERROR(Table13[[#This Row],[Mtr_Net_Exp (KWh)]]/(24*AR46*1000),"")</f>
        <v>5.8333333333333334E-2</v>
      </c>
      <c r="X46" s="121">
        <f>IFERROR(_xlfn.XLOOKUP($A46,Input_Raw!$A:$A,Input_Raw!$CF:$CF),"")</f>
        <v>112662</v>
      </c>
      <c r="Y46" s="121">
        <f>IFERROR(_xlfn.XLOOKUP($A46,Input_Raw!$A:$A,Input_Raw!$CZ:$CZ),"")</f>
        <v>111600</v>
      </c>
      <c r="Z46" s="121">
        <f>IFERROR(_xlfn.XLOOKUP($A46,Input_Raw!$A:$A,Input_Raw!$DA:$DA),"")</f>
        <v>2400</v>
      </c>
      <c r="AA46" s="123">
        <f t="shared" si="5"/>
        <v>109200</v>
      </c>
      <c r="AB46" s="121">
        <f>IFERROR(_xlfn.XLOOKUP($A46,Input_Raw!$A:$A,Input_Raw!$DG:$DG),"")</f>
        <v>78</v>
      </c>
      <c r="AC46" s="141">
        <f>IFERROR(_xlfn.XLOOKUP($D46,'Modelling New'!$D:$D,'Modelling New'!$J:$J),"")</f>
        <v>6.5666666666666664</v>
      </c>
      <c r="AD46" s="123">
        <f>IFERROR(_xlfn.XLOOKUP($D46,'Modelling New'!$D:$D,'Modelling New'!$T:$T)*1000,"")</f>
        <v>558388.39265938452</v>
      </c>
      <c r="AE46" s="140"/>
      <c r="AF46" s="140">
        <f>IFERROR(_xlfn.XLOOKUP($D46,'Modelling New'!$D:$D,'Modelling New'!$W:$W),"")</f>
        <v>0.29828439778813276</v>
      </c>
      <c r="AG46" s="140">
        <f>IFERROR(_xlfn.XLOOKUP($D46,'Modelling New'!$D:$D,'Modelling New'!$AE:$AE),"")</f>
        <v>0.96029999999999993</v>
      </c>
      <c r="AH46" s="140">
        <f>IFERROR(_xlfn.XLOOKUP($D46,'Modelling New'!$D:$D,'Modelling New'!$AF:$AF),"")</f>
        <v>0.995</v>
      </c>
      <c r="AI46" s="121">
        <f>IFERROR(_xlfn.XLOOKUP($A46,Input_Raw!$A:$A,Input_Raw!$DE:$DE),"")</f>
        <v>112.66</v>
      </c>
      <c r="AJ46" s="121"/>
      <c r="AK46" s="121"/>
      <c r="AL46" s="121"/>
      <c r="AM46" s="121"/>
      <c r="AN46" s="142">
        <f>IFERROR(_xlfn.XLOOKUP($A46,Input_Raw!$A:$A,Input_Raw!$DB:$DB),"")</f>
        <v>9.426425946636896E-3</v>
      </c>
      <c r="AO46" s="140">
        <f>IFERROR((_xlfn.XLOOKUP($A46,'WTG Reactive Power'!$A:$A,'WTG Reactive Power'!$AR:$AR))/X46/1000,"")</f>
        <v>5.1765457740853173E-5</v>
      </c>
      <c r="AP46" s="140">
        <f>IFERROR(_xlfn.XLOOKUP($D46,'Modelling New'!$D:$D,'Modelling New'!$AK:$AK),"")</f>
        <v>0.05</v>
      </c>
      <c r="AQ46" s="140">
        <f>IFERROR(_xlfn.XLOOKUP($D46,'Modelling New'!$D:$D,'Modelling New'!$AL:$AL),"")</f>
        <v>0.05</v>
      </c>
      <c r="AR46">
        <f>IFERROR(_xlfn.XLOOKUP($D46,'Modelling New'!$D:$D,'Modelling New'!$N:$N),"")</f>
        <v>78</v>
      </c>
    </row>
    <row r="47" spans="1:44">
      <c r="A47" s="134">
        <f t="shared" si="7"/>
        <v>45790</v>
      </c>
      <c r="B47" s="123">
        <f>YEAR(Table13[[#This Row],[Date]])+IF(MONTH(Table13[[#This Row],[Date]])&gt;=4,1,0)</f>
        <v>2026</v>
      </c>
      <c r="C47" s="121">
        <f>YEAR(Table13[[#This Row],[Date]])</f>
        <v>2025</v>
      </c>
      <c r="D47" s="135">
        <f>Table13[[#This Row],[Date]]-DAY(Table13[[#This Row],[Date]])+1</f>
        <v>45778</v>
      </c>
      <c r="E47" s="121">
        <f t="shared" si="4"/>
        <v>31</v>
      </c>
      <c r="F47" s="124"/>
      <c r="G47" s="125"/>
      <c r="H47" s="125"/>
      <c r="I47" s="125"/>
      <c r="J47" s="125"/>
      <c r="K47" s="136"/>
      <c r="L47" s="125"/>
      <c r="M47" s="125">
        <f>IFERROR(_xlfn.XLOOKUP($A47,Input_Raw!$A:$A,Input_Raw!CG:CG),"")</f>
        <v>4.8055263157894732</v>
      </c>
      <c r="N47" s="125">
        <f>IFERROR(_xlfn.XLOOKUP($A47,Input_Raw!$A:$A,Input_Raw!CH:CH),"")</f>
        <v>0</v>
      </c>
      <c r="O47" s="137">
        <f t="shared" si="6"/>
        <v>0.92613165404344744</v>
      </c>
      <c r="P47" s="137">
        <f>IFERROR(1-SUMIF(WTG_BD!$F:$F,$A47,WTG_BD!$AA:$AA)/($AA47+SUMIF(WTG_BD!$F:$F,$A47,WTG_BD!$AA:$AA)),"")</f>
        <v>0.92613165404344744</v>
      </c>
      <c r="Q47" s="138">
        <f>IFERROR(1-SUMIF(IGA_BD!$F:$F,$A47,IGA_BD!$V:$V)/($AA47+SUMIF(IGA_BD!$F:$F,$A47,IGA_BD!$V:$V)),"")</f>
        <v>1</v>
      </c>
      <c r="R47" s="143">
        <f>IFERROR(1-SUMIF(Grid_BD!$F:$F,$A47,Grid_BD!$X:$X)/($AA47+SUMIF(Grid_BD!$F:$F,$A47,Grid_BD!$X:$X)),"")</f>
        <v>1</v>
      </c>
      <c r="S47" s="121"/>
      <c r="T47" s="138"/>
      <c r="U47" s="139"/>
      <c r="V47" s="121"/>
      <c r="W47" s="140">
        <f>IFERROR(Table13[[#This Row],[Mtr_Net_Exp (KWh)]]/(24*AR47*1000),"")</f>
        <v>0.10512820512820513</v>
      </c>
      <c r="X47" s="121">
        <f>IFERROR(_xlfn.XLOOKUP($A47,Input_Raw!$A:$A,Input_Raw!$CF:$CF),"")</f>
        <v>205550</v>
      </c>
      <c r="Y47" s="121">
        <f>IFERROR(_xlfn.XLOOKUP($A47,Input_Raw!$A:$A,Input_Raw!$CZ:$CZ),"")</f>
        <v>201600</v>
      </c>
      <c r="Z47" s="121">
        <f>IFERROR(_xlfn.XLOOKUP($A47,Input_Raw!$A:$A,Input_Raw!$DA:$DA),"")</f>
        <v>4800</v>
      </c>
      <c r="AA47" s="123">
        <f t="shared" si="5"/>
        <v>196800</v>
      </c>
      <c r="AB47" s="121">
        <f>IFERROR(_xlfn.XLOOKUP($A47,Input_Raw!$A:$A,Input_Raw!$DG:$DG),"")</f>
        <v>78</v>
      </c>
      <c r="AC47" s="141">
        <f>IFERROR(_xlfn.XLOOKUP($D47,'Modelling New'!$D:$D,'Modelling New'!$J:$J),"")</f>
        <v>6.5666666666666664</v>
      </c>
      <c r="AD47" s="123">
        <f>IFERROR(_xlfn.XLOOKUP($D47,'Modelling New'!$D:$D,'Modelling New'!$T:$T)*1000,"")</f>
        <v>558388.39265938452</v>
      </c>
      <c r="AE47" s="140"/>
      <c r="AF47" s="140">
        <f>IFERROR(_xlfn.XLOOKUP($D47,'Modelling New'!$D:$D,'Modelling New'!$W:$W),"")</f>
        <v>0.29828439778813276</v>
      </c>
      <c r="AG47" s="140">
        <f>IFERROR(_xlfn.XLOOKUP($D47,'Modelling New'!$D:$D,'Modelling New'!$AE:$AE),"")</f>
        <v>0.96029999999999993</v>
      </c>
      <c r="AH47" s="140">
        <f>IFERROR(_xlfn.XLOOKUP($D47,'Modelling New'!$D:$D,'Modelling New'!$AF:$AF),"")</f>
        <v>0.995</v>
      </c>
      <c r="AI47" s="121">
        <f>IFERROR(_xlfn.XLOOKUP($A47,Input_Raw!$A:$A,Input_Raw!$DE:$DE),"")</f>
        <v>205.55</v>
      </c>
      <c r="AJ47" s="121"/>
      <c r="AK47" s="121"/>
      <c r="AL47" s="121"/>
      <c r="AM47" s="121"/>
      <c r="AN47" s="142">
        <f>IFERROR(_xlfn.XLOOKUP($A47,Input_Raw!$A:$A,Input_Raw!$DB:$DB),"")</f>
        <v>1.9216735587448297E-2</v>
      </c>
      <c r="AO47" s="140">
        <f>IFERROR((_xlfn.XLOOKUP($A47,'WTG Reactive Power'!$A:$A,'WTG Reactive Power'!$AR:$AR))/X47/1000,"")</f>
        <v>4.0861104354171735E-5</v>
      </c>
      <c r="AP47" s="140">
        <f>IFERROR(_xlfn.XLOOKUP($D47,'Modelling New'!$D:$D,'Modelling New'!$AK:$AK),"")</f>
        <v>0.05</v>
      </c>
      <c r="AQ47" s="140">
        <f>IFERROR(_xlfn.XLOOKUP($D47,'Modelling New'!$D:$D,'Modelling New'!$AL:$AL),"")</f>
        <v>0.05</v>
      </c>
      <c r="AR47">
        <f>IFERROR(_xlfn.XLOOKUP($D47,'Modelling New'!$D:$D,'Modelling New'!$N:$N),"")</f>
        <v>78</v>
      </c>
    </row>
    <row r="48" spans="1:44">
      <c r="A48" s="134">
        <f t="shared" si="7"/>
        <v>45791</v>
      </c>
      <c r="B48" s="123">
        <f>YEAR(Table13[[#This Row],[Date]])+IF(MONTH(Table13[[#This Row],[Date]])&gt;=4,1,0)</f>
        <v>2026</v>
      </c>
      <c r="C48" s="121">
        <f>YEAR(Table13[[#This Row],[Date]])</f>
        <v>2025</v>
      </c>
      <c r="D48" s="135">
        <f>Table13[[#This Row],[Date]]-DAY(Table13[[#This Row],[Date]])+1</f>
        <v>45778</v>
      </c>
      <c r="E48" s="121">
        <f t="shared" si="4"/>
        <v>31</v>
      </c>
      <c r="F48" s="124"/>
      <c r="G48" s="125"/>
      <c r="H48" s="125"/>
      <c r="I48" s="125"/>
      <c r="J48" s="125"/>
      <c r="K48" s="136"/>
      <c r="L48" s="125"/>
      <c r="M48" s="125">
        <f>IFERROR(_xlfn.XLOOKUP($A48,Input_Raw!$A:$A,Input_Raw!CG:CG),"")</f>
        <v>3.4951282051282053</v>
      </c>
      <c r="N48" s="125">
        <f>IFERROR(_xlfn.XLOOKUP($A48,Input_Raw!$A:$A,Input_Raw!CH:CH),"")</f>
        <v>0</v>
      </c>
      <c r="O48" s="137">
        <f t="shared" si="6"/>
        <v>0.89492402156729256</v>
      </c>
      <c r="P48" s="137">
        <f>IFERROR(1-SUMIF(WTG_BD!$F:$F,$A48,WTG_BD!$AA:$AA)/($AA48+SUMIF(WTG_BD!$F:$F,$A48,WTG_BD!$AA:$AA)),"")</f>
        <v>0.89492402156729256</v>
      </c>
      <c r="Q48" s="138">
        <f>IFERROR(1-SUMIF(IGA_BD!$F:$F,$A48,IGA_BD!$V:$V)/($AA48+SUMIF(IGA_BD!$F:$F,$A48,IGA_BD!$V:$V)),"")</f>
        <v>1</v>
      </c>
      <c r="R48" s="143">
        <f>IFERROR(1-SUMIF(Grid_BD!$F:$F,$A48,Grid_BD!$X:$X)/($AA48+SUMIF(Grid_BD!$F:$F,$A48,Grid_BD!$X:$X)),"")</f>
        <v>1</v>
      </c>
      <c r="S48" s="121"/>
      <c r="T48" s="138"/>
      <c r="U48" s="139"/>
      <c r="V48" s="121"/>
      <c r="W48" s="140">
        <f>IFERROR(Table13[[#This Row],[Mtr_Net_Exp (KWh)]]/(24*AR48*1000),"")</f>
        <v>6.9871794871794873E-2</v>
      </c>
      <c r="X48" s="121">
        <f>IFERROR(_xlfn.XLOOKUP($A48,Input_Raw!$A:$A,Input_Raw!$CF:$CF),"")</f>
        <v>139230</v>
      </c>
      <c r="Y48" s="121">
        <f>IFERROR(_xlfn.XLOOKUP($A48,Input_Raw!$A:$A,Input_Raw!$CZ:$CZ),"")</f>
        <v>135600</v>
      </c>
      <c r="Z48" s="121">
        <f>IFERROR(_xlfn.XLOOKUP($A48,Input_Raw!$A:$A,Input_Raw!$DA:$DA),"")</f>
        <v>4800</v>
      </c>
      <c r="AA48" s="123">
        <f t="shared" si="5"/>
        <v>130800</v>
      </c>
      <c r="AB48" s="121">
        <f>IFERROR(_xlfn.XLOOKUP($A48,Input_Raw!$A:$A,Input_Raw!$DG:$DG),"")</f>
        <v>78</v>
      </c>
      <c r="AC48" s="141">
        <f>IFERROR(_xlfn.XLOOKUP($D48,'Modelling New'!$D:$D,'Modelling New'!$J:$J),"")</f>
        <v>6.5666666666666664</v>
      </c>
      <c r="AD48" s="123">
        <f>IFERROR(_xlfn.XLOOKUP($D48,'Modelling New'!$D:$D,'Modelling New'!$T:$T)*1000,"")</f>
        <v>558388.39265938452</v>
      </c>
      <c r="AE48" s="140"/>
      <c r="AF48" s="140">
        <f>IFERROR(_xlfn.XLOOKUP($D48,'Modelling New'!$D:$D,'Modelling New'!$W:$W),"")</f>
        <v>0.29828439778813276</v>
      </c>
      <c r="AG48" s="140">
        <f>IFERROR(_xlfn.XLOOKUP($D48,'Modelling New'!$D:$D,'Modelling New'!$AE:$AE),"")</f>
        <v>0.96029999999999993</v>
      </c>
      <c r="AH48" s="140">
        <f>IFERROR(_xlfn.XLOOKUP($D48,'Modelling New'!$D:$D,'Modelling New'!$AF:$AF),"")</f>
        <v>0.995</v>
      </c>
      <c r="AI48" s="121">
        <f>IFERROR(_xlfn.XLOOKUP($A48,Input_Raw!$A:$A,Input_Raw!$DE:$DE),"")</f>
        <v>139.22999999999999</v>
      </c>
      <c r="AJ48" s="121"/>
      <c r="AK48" s="121"/>
      <c r="AL48" s="121"/>
      <c r="AM48" s="121"/>
      <c r="AN48" s="142">
        <f>IFERROR(_xlfn.XLOOKUP($A48,Input_Raw!$A:$A,Input_Raw!$DB:$DB),"")</f>
        <v>2.6071967248437855E-2</v>
      </c>
      <c r="AO48" s="140">
        <f>IFERROR((_xlfn.XLOOKUP($A48,'WTG Reactive Power'!$A:$A,'WTG Reactive Power'!$AR:$AR))/X48/1000,"")</f>
        <v>8.3775048480930821E-5</v>
      </c>
      <c r="AP48" s="140">
        <f>IFERROR(_xlfn.XLOOKUP($D48,'Modelling New'!$D:$D,'Modelling New'!$AK:$AK),"")</f>
        <v>0.05</v>
      </c>
      <c r="AQ48" s="140">
        <f>IFERROR(_xlfn.XLOOKUP($D48,'Modelling New'!$D:$D,'Modelling New'!$AL:$AL),"")</f>
        <v>0.05</v>
      </c>
      <c r="AR48">
        <f>IFERROR(_xlfn.XLOOKUP($D48,'Modelling New'!$D:$D,'Modelling New'!$N:$N),"")</f>
        <v>78</v>
      </c>
    </row>
    <row r="49" spans="1:44">
      <c r="A49" s="134">
        <f t="shared" si="7"/>
        <v>45792</v>
      </c>
      <c r="B49" s="123">
        <f>YEAR(Table13[[#This Row],[Date]])+IF(MONTH(Table13[[#This Row],[Date]])&gt;=4,1,0)</f>
        <v>2026</v>
      </c>
      <c r="C49" s="121">
        <f>YEAR(Table13[[#This Row],[Date]])</f>
        <v>2025</v>
      </c>
      <c r="D49" s="135">
        <f>Table13[[#This Row],[Date]]-DAY(Table13[[#This Row],[Date]])+1</f>
        <v>45778</v>
      </c>
      <c r="E49" s="121">
        <f t="shared" si="4"/>
        <v>31</v>
      </c>
      <c r="F49" s="124"/>
      <c r="G49" s="125"/>
      <c r="H49" s="125"/>
      <c r="I49" s="125"/>
      <c r="J49" s="125"/>
      <c r="K49" s="136"/>
      <c r="L49" s="125"/>
      <c r="M49" s="125">
        <f>IFERROR(_xlfn.XLOOKUP($A49,Input_Raw!$A:$A,Input_Raw!CG:CG),"")</f>
        <v>3.5474358974358982</v>
      </c>
      <c r="N49" s="125">
        <f>IFERROR(_xlfn.XLOOKUP($A49,Input_Raw!$A:$A,Input_Raw!CH:CH),"")</f>
        <v>0</v>
      </c>
      <c r="O49" s="137">
        <f t="shared" si="6"/>
        <v>0.91086987496206451</v>
      </c>
      <c r="P49" s="137">
        <f>IFERROR(1-SUMIF(WTG_BD!$F:$F,$A49,WTG_BD!$AA:$AA)/($AA49+SUMIF(WTG_BD!$F:$F,$A49,WTG_BD!$AA:$AA)),"")</f>
        <v>0.91086987496206451</v>
      </c>
      <c r="Q49" s="138">
        <f>IFERROR(1-SUMIF(IGA_BD!$F:$F,$A49,IGA_BD!$V:$V)/($AA49+SUMIF(IGA_BD!$F:$F,$A49,IGA_BD!$V:$V)),"")</f>
        <v>1</v>
      </c>
      <c r="R49" s="143">
        <f>IFERROR(1-SUMIF(Grid_BD!$F:$F,$A49,Grid_BD!$X:$X)/($AA49+SUMIF(Grid_BD!$F:$F,$A49,Grid_BD!$X:$X)),"")</f>
        <v>1</v>
      </c>
      <c r="S49" s="121"/>
      <c r="T49" s="138"/>
      <c r="U49" s="139"/>
      <c r="V49" s="121"/>
      <c r="W49" s="140">
        <f>IFERROR(Table13[[#This Row],[Mtr_Net_Exp (KWh)]]/(24*AR49*1000),"")</f>
        <v>0.10192307692307692</v>
      </c>
      <c r="X49" s="121">
        <f>IFERROR(_xlfn.XLOOKUP($A49,Input_Raw!$A:$A,Input_Raw!$CF:$CF),"")</f>
        <v>194666</v>
      </c>
      <c r="Y49" s="121">
        <f>IFERROR(_xlfn.XLOOKUP($A49,Input_Raw!$A:$A,Input_Raw!$CZ:$CZ),"")</f>
        <v>192000</v>
      </c>
      <c r="Z49" s="121">
        <f>IFERROR(_xlfn.XLOOKUP($A49,Input_Raw!$A:$A,Input_Raw!$DA:$DA),"")</f>
        <v>1200</v>
      </c>
      <c r="AA49" s="123">
        <f t="shared" si="5"/>
        <v>190800</v>
      </c>
      <c r="AB49" s="121">
        <f>IFERROR(_xlfn.XLOOKUP($A49,Input_Raw!$A:$A,Input_Raw!$DG:$DG),"")</f>
        <v>78</v>
      </c>
      <c r="AC49" s="141">
        <f>IFERROR(_xlfn.XLOOKUP($D49,'Modelling New'!$D:$D,'Modelling New'!$J:$J),"")</f>
        <v>6.5666666666666664</v>
      </c>
      <c r="AD49" s="123">
        <f>IFERROR(_xlfn.XLOOKUP($D49,'Modelling New'!$D:$D,'Modelling New'!$T:$T)*1000,"")</f>
        <v>558388.39265938452</v>
      </c>
      <c r="AE49" s="140"/>
      <c r="AF49" s="140">
        <f>IFERROR(_xlfn.XLOOKUP($D49,'Modelling New'!$D:$D,'Modelling New'!$W:$W),"")</f>
        <v>0.29828439778813276</v>
      </c>
      <c r="AG49" s="140">
        <f>IFERROR(_xlfn.XLOOKUP($D49,'Modelling New'!$D:$D,'Modelling New'!$AE:$AE),"")</f>
        <v>0.96029999999999993</v>
      </c>
      <c r="AH49" s="140">
        <f>IFERROR(_xlfn.XLOOKUP($D49,'Modelling New'!$D:$D,'Modelling New'!$AF:$AF),"")</f>
        <v>0.995</v>
      </c>
      <c r="AI49" s="121">
        <f>IFERROR(_xlfn.XLOOKUP($A49,Input_Raw!$A:$A,Input_Raw!$DE:$DE),"")</f>
        <v>194.66</v>
      </c>
      <c r="AJ49" s="121"/>
      <c r="AK49" s="121"/>
      <c r="AL49" s="121"/>
      <c r="AM49" s="121"/>
      <c r="AN49" s="142">
        <f>IFERROR(_xlfn.XLOOKUP($A49,Input_Raw!$A:$A,Input_Raw!$DB:$DB),"")</f>
        <v>1.3695252381001333E-2</v>
      </c>
      <c r="AO49" s="140">
        <f>IFERROR((_xlfn.XLOOKUP($A49,'WTG Reactive Power'!$A:$A,'WTG Reactive Power'!$AR:$AR))/X49/1000,"")</f>
        <v>3.0791201339730618E-5</v>
      </c>
      <c r="AP49" s="140">
        <f>IFERROR(_xlfn.XLOOKUP($D49,'Modelling New'!$D:$D,'Modelling New'!$AK:$AK),"")</f>
        <v>0.05</v>
      </c>
      <c r="AQ49" s="140">
        <f>IFERROR(_xlfn.XLOOKUP($D49,'Modelling New'!$D:$D,'Modelling New'!$AL:$AL),"")</f>
        <v>0.05</v>
      </c>
      <c r="AR49">
        <f>IFERROR(_xlfn.XLOOKUP($D49,'Modelling New'!$D:$D,'Modelling New'!$N:$N),"")</f>
        <v>78</v>
      </c>
    </row>
    <row r="50" spans="1:44">
      <c r="A50" s="134">
        <f t="shared" si="7"/>
        <v>45793</v>
      </c>
      <c r="B50" s="123">
        <f>YEAR(Table13[[#This Row],[Date]])+IF(MONTH(Table13[[#This Row],[Date]])&gt;=4,1,0)</f>
        <v>2026</v>
      </c>
      <c r="C50" s="121">
        <f>YEAR(Table13[[#This Row],[Date]])</f>
        <v>2025</v>
      </c>
      <c r="D50" s="135">
        <f>Table13[[#This Row],[Date]]-DAY(Table13[[#This Row],[Date]])+1</f>
        <v>45778</v>
      </c>
      <c r="E50" s="121">
        <f t="shared" si="4"/>
        <v>31</v>
      </c>
      <c r="F50" s="124"/>
      <c r="G50" s="125"/>
      <c r="H50" s="125"/>
      <c r="I50" s="125"/>
      <c r="J50" s="125"/>
      <c r="K50" s="136"/>
      <c r="L50" s="125"/>
      <c r="M50" s="125">
        <f>IFERROR(_xlfn.XLOOKUP($A50,Input_Raw!$A:$A,Input_Raw!CG:CG),"")</f>
        <v>4.056923076923078</v>
      </c>
      <c r="N50" s="125">
        <f>IFERROR(_xlfn.XLOOKUP($A50,Input_Raw!$A:$A,Input_Raw!CH:CH),"")</f>
        <v>0</v>
      </c>
      <c r="O50" s="137">
        <f t="shared" si="6"/>
        <v>0.91413196247312223</v>
      </c>
      <c r="P50" s="137">
        <f>IFERROR(1-SUMIF(WTG_BD!$F:$F,$A50,WTG_BD!$AA:$AA)/($AA50+SUMIF(WTG_BD!$F:$F,$A50,WTG_BD!$AA:$AA)),"")</f>
        <v>0.92211704250870152</v>
      </c>
      <c r="Q50" s="138">
        <f>IFERROR(1-SUMIF(IGA_BD!$F:$F,$A50,IGA_BD!$V:$V)/($AA50+SUMIF(IGA_BD!$F:$F,$A50,IGA_BD!$V:$V)),"")</f>
        <v>0.99134049186006234</v>
      </c>
      <c r="R50" s="143">
        <f>IFERROR(1-SUMIF(Grid_BD!$F:$F,$A50,Grid_BD!$X:$X)/($AA50+SUMIF(Grid_BD!$F:$F,$A50,Grid_BD!$X:$X)),"")</f>
        <v>1</v>
      </c>
      <c r="S50" s="121"/>
      <c r="T50" s="138"/>
      <c r="U50" s="139"/>
      <c r="V50" s="121"/>
      <c r="W50" s="140">
        <f>IFERROR(Table13[[#This Row],[Mtr_Net_Exp (KWh)]]/(24*AR50*1000),"")</f>
        <v>0.16987179487179488</v>
      </c>
      <c r="X50" s="121">
        <f>IFERROR(_xlfn.XLOOKUP($A50,Input_Raw!$A:$A,Input_Raw!$CF:$CF),"")</f>
        <v>321526</v>
      </c>
      <c r="Y50" s="121">
        <f>IFERROR(_xlfn.XLOOKUP($A50,Input_Raw!$A:$A,Input_Raw!$CZ:$CZ),"")</f>
        <v>318000</v>
      </c>
      <c r="Z50" s="121">
        <f>IFERROR(_xlfn.XLOOKUP($A50,Input_Raw!$A:$A,Input_Raw!$DA:$DA),"")</f>
        <v>0</v>
      </c>
      <c r="AA50" s="123">
        <f t="shared" si="5"/>
        <v>318000</v>
      </c>
      <c r="AB50" s="121">
        <f>IFERROR(_xlfn.XLOOKUP($A50,Input_Raw!$A:$A,Input_Raw!$DG:$DG),"")</f>
        <v>78</v>
      </c>
      <c r="AC50" s="141">
        <f>IFERROR(_xlfn.XLOOKUP($D50,'Modelling New'!$D:$D,'Modelling New'!$J:$J),"")</f>
        <v>6.5666666666666664</v>
      </c>
      <c r="AD50" s="123">
        <f>IFERROR(_xlfn.XLOOKUP($D50,'Modelling New'!$D:$D,'Modelling New'!$T:$T)*1000,"")</f>
        <v>558388.39265938452</v>
      </c>
      <c r="AE50" s="140"/>
      <c r="AF50" s="140">
        <f>IFERROR(_xlfn.XLOOKUP($D50,'Modelling New'!$D:$D,'Modelling New'!$W:$W),"")</f>
        <v>0.29828439778813276</v>
      </c>
      <c r="AG50" s="140">
        <f>IFERROR(_xlfn.XLOOKUP($D50,'Modelling New'!$D:$D,'Modelling New'!$AE:$AE),"")</f>
        <v>0.96029999999999993</v>
      </c>
      <c r="AH50" s="140">
        <f>IFERROR(_xlfn.XLOOKUP($D50,'Modelling New'!$D:$D,'Modelling New'!$AF:$AF),"")</f>
        <v>0.995</v>
      </c>
      <c r="AI50" s="121">
        <f>IFERROR(_xlfn.XLOOKUP($A50,Input_Raw!$A:$A,Input_Raw!$DE:$DE),"")</f>
        <v>321.52</v>
      </c>
      <c r="AJ50" s="121"/>
      <c r="AK50" s="121"/>
      <c r="AL50" s="121"/>
      <c r="AM50" s="121"/>
      <c r="AN50" s="142">
        <f>IFERROR(_xlfn.XLOOKUP($A50,Input_Raw!$A:$A,Input_Raw!$DB:$DB),"")</f>
        <v>1.0966453723804559E-2</v>
      </c>
      <c r="AO50" s="140">
        <f>IFERROR((_xlfn.XLOOKUP($A50,'WTG Reactive Power'!$A:$A,'WTG Reactive Power'!$AR:$AR))/X50/1000,"")</f>
        <v>1.4959909929523585E-5</v>
      </c>
      <c r="AP50" s="140">
        <f>IFERROR(_xlfn.XLOOKUP($D50,'Modelling New'!$D:$D,'Modelling New'!$AK:$AK),"")</f>
        <v>0.05</v>
      </c>
      <c r="AQ50" s="140">
        <f>IFERROR(_xlfn.XLOOKUP($D50,'Modelling New'!$D:$D,'Modelling New'!$AL:$AL),"")</f>
        <v>0.05</v>
      </c>
      <c r="AR50">
        <f>IFERROR(_xlfn.XLOOKUP($D50,'Modelling New'!$D:$D,'Modelling New'!$N:$N),"")</f>
        <v>78</v>
      </c>
    </row>
    <row r="51" spans="1:44">
      <c r="A51" s="134">
        <f t="shared" si="7"/>
        <v>45794</v>
      </c>
      <c r="B51" s="123">
        <f>YEAR(Table13[[#This Row],[Date]])+IF(MONTH(Table13[[#This Row],[Date]])&gt;=4,1,0)</f>
        <v>2026</v>
      </c>
      <c r="C51" s="121">
        <f>YEAR(Table13[[#This Row],[Date]])</f>
        <v>2025</v>
      </c>
      <c r="D51" s="135">
        <f>Table13[[#This Row],[Date]]-DAY(Table13[[#This Row],[Date]])+1</f>
        <v>45778</v>
      </c>
      <c r="E51" s="121">
        <f t="shared" si="4"/>
        <v>31</v>
      </c>
      <c r="F51" s="124"/>
      <c r="G51" s="125"/>
      <c r="H51" s="125"/>
      <c r="I51" s="125"/>
      <c r="J51" s="125"/>
      <c r="K51" s="136"/>
      <c r="L51" s="125"/>
      <c r="M51" s="125">
        <f>IFERROR(_xlfn.XLOOKUP($A51,Input_Raw!$A:$A,Input_Raw!CG:CG),"")</f>
        <v>3.885204939707056</v>
      </c>
      <c r="N51" s="125">
        <f>IFERROR(_xlfn.XLOOKUP($A51,Input_Raw!$A:$A,Input_Raw!CH:CH),"")</f>
        <v>0</v>
      </c>
      <c r="O51" s="137">
        <f t="shared" si="6"/>
        <v>0.89141302592511762</v>
      </c>
      <c r="P51" s="137">
        <f>IFERROR(1-SUMIF(WTG_BD!$F:$F,$A51,WTG_BD!$AA:$AA)/($AA51+SUMIF(WTG_BD!$F:$F,$A51,WTG_BD!$AA:$AA)),"")</f>
        <v>0.91203084818558844</v>
      </c>
      <c r="Q51" s="138">
        <f>IFERROR(1-SUMIF(IGA_BD!$F:$F,$A51,IGA_BD!$V:$V)/($AA51+SUMIF(IGA_BD!$F:$F,$A51,IGA_BD!$V:$V)),"")</f>
        <v>0.97739350340891618</v>
      </c>
      <c r="R51" s="143">
        <f>IFERROR(1-SUMIF(Grid_BD!$F:$F,$A51,Grid_BD!$X:$X)/($AA51+SUMIF(Grid_BD!$F:$F,$A51,Grid_BD!$X:$X)),"")</f>
        <v>1</v>
      </c>
      <c r="S51" s="121"/>
      <c r="T51" s="138"/>
      <c r="U51" s="139"/>
      <c r="V51" s="121"/>
      <c r="W51" s="140">
        <f>IFERROR(Table13[[#This Row],[Mtr_Net_Exp (KWh)]]/(24*AR51*1000),"")</f>
        <v>9.166666666666666E-2</v>
      </c>
      <c r="X51" s="121">
        <f>IFERROR(_xlfn.XLOOKUP($A51,Input_Raw!$A:$A,Input_Raw!$CF:$CF),"")</f>
        <v>176988</v>
      </c>
      <c r="Y51" s="121">
        <f>IFERROR(_xlfn.XLOOKUP($A51,Input_Raw!$A:$A,Input_Raw!$CZ:$CZ),"")</f>
        <v>174000</v>
      </c>
      <c r="Z51" s="121">
        <f>IFERROR(_xlfn.XLOOKUP($A51,Input_Raw!$A:$A,Input_Raw!$DA:$DA),"")</f>
        <v>2400</v>
      </c>
      <c r="AA51" s="123">
        <f t="shared" si="5"/>
        <v>171600</v>
      </c>
      <c r="AB51" s="121">
        <f>IFERROR(_xlfn.XLOOKUP($A51,Input_Raw!$A:$A,Input_Raw!$DG:$DG),"")</f>
        <v>78</v>
      </c>
      <c r="AC51" s="141">
        <f>IFERROR(_xlfn.XLOOKUP($D51,'Modelling New'!$D:$D,'Modelling New'!$J:$J),"")</f>
        <v>6.5666666666666664</v>
      </c>
      <c r="AD51" s="123">
        <f>IFERROR(_xlfn.XLOOKUP($D51,'Modelling New'!$D:$D,'Modelling New'!$T:$T)*1000,"")</f>
        <v>558388.39265938452</v>
      </c>
      <c r="AE51" s="140"/>
      <c r="AF51" s="140">
        <f>IFERROR(_xlfn.XLOOKUP($D51,'Modelling New'!$D:$D,'Modelling New'!$W:$W),"")</f>
        <v>0.29828439778813276</v>
      </c>
      <c r="AG51" s="140">
        <f>IFERROR(_xlfn.XLOOKUP($D51,'Modelling New'!$D:$D,'Modelling New'!$AE:$AE),"")</f>
        <v>0.96029999999999993</v>
      </c>
      <c r="AH51" s="140">
        <f>IFERROR(_xlfn.XLOOKUP($D51,'Modelling New'!$D:$D,'Modelling New'!$AF:$AF),"")</f>
        <v>0.995</v>
      </c>
      <c r="AI51" s="121">
        <f>IFERROR(_xlfn.XLOOKUP($A51,Input_Raw!$A:$A,Input_Raw!$DE:$DE),"")</f>
        <v>176.98</v>
      </c>
      <c r="AJ51" s="121"/>
      <c r="AK51" s="121"/>
      <c r="AL51" s="121"/>
      <c r="AM51" s="121"/>
      <c r="AN51" s="142">
        <f>IFERROR(_xlfn.XLOOKUP($A51,Input_Raw!$A:$A,Input_Raw!$DB:$DB),"")</f>
        <v>1.6882500508509035E-2</v>
      </c>
      <c r="AO51" s="140">
        <f>IFERROR((_xlfn.XLOOKUP($A51,'WTG Reactive Power'!$A:$A,'WTG Reactive Power'!$AR:$AR))/X51/1000,"")</f>
        <v>2.0487264673311187E-5</v>
      </c>
      <c r="AP51" s="140">
        <f>IFERROR(_xlfn.XLOOKUP($D51,'Modelling New'!$D:$D,'Modelling New'!$AK:$AK),"")</f>
        <v>0.05</v>
      </c>
      <c r="AQ51" s="140">
        <f>IFERROR(_xlfn.XLOOKUP($D51,'Modelling New'!$D:$D,'Modelling New'!$AL:$AL),"")</f>
        <v>0.05</v>
      </c>
      <c r="AR51">
        <f>IFERROR(_xlfn.XLOOKUP($D51,'Modelling New'!$D:$D,'Modelling New'!$N:$N),"")</f>
        <v>78</v>
      </c>
    </row>
    <row r="52" spans="1:44">
      <c r="A52" s="134">
        <f t="shared" si="7"/>
        <v>45795</v>
      </c>
      <c r="B52" s="123">
        <f>YEAR(Table13[[#This Row],[Date]])+IF(MONTH(Table13[[#This Row],[Date]])&gt;=4,1,0)</f>
        <v>2026</v>
      </c>
      <c r="C52" s="121">
        <f>YEAR(Table13[[#This Row],[Date]])</f>
        <v>2025</v>
      </c>
      <c r="D52" s="135">
        <f>Table13[[#This Row],[Date]]-DAY(Table13[[#This Row],[Date]])+1</f>
        <v>45778</v>
      </c>
      <c r="E52" s="121">
        <f t="shared" si="4"/>
        <v>31</v>
      </c>
      <c r="F52" s="124"/>
      <c r="G52" s="125"/>
      <c r="H52" s="125"/>
      <c r="I52" s="125"/>
      <c r="J52" s="125"/>
      <c r="K52" s="136"/>
      <c r="L52" s="125"/>
      <c r="M52" s="125">
        <f>IFERROR(_xlfn.XLOOKUP($A52,Input_Raw!$A:$A,Input_Raw!CG:CG),"")</f>
        <v>3.5474358974358982</v>
      </c>
      <c r="N52" s="125">
        <f>IFERROR(_xlfn.XLOOKUP($A52,Input_Raw!$A:$A,Input_Raw!CH:CH),"")</f>
        <v>0</v>
      </c>
      <c r="O52" s="137">
        <f t="shared" si="6"/>
        <v>0.93906711056649905</v>
      </c>
      <c r="P52" s="137">
        <f>IFERROR(1-SUMIF(WTG_BD!$F:$F,$A52,WTG_BD!$AA:$AA)/($AA52+SUMIF(WTG_BD!$F:$F,$A52,WTG_BD!$AA:$AA)),"")</f>
        <v>0.93906711056649905</v>
      </c>
      <c r="Q52" s="138">
        <f>IFERROR(1-SUMIF(IGA_BD!$F:$F,$A52,IGA_BD!$V:$V)/($AA52+SUMIF(IGA_BD!$F:$F,$A52,IGA_BD!$V:$V)),"")</f>
        <v>1</v>
      </c>
      <c r="R52" s="143">
        <f>IFERROR(1-SUMIF(Grid_BD!$F:$F,$A52,Grid_BD!$X:$X)/($AA52+SUMIF(Grid_BD!$F:$F,$A52,Grid_BD!$X:$X)),"")</f>
        <v>1</v>
      </c>
      <c r="S52" s="121"/>
      <c r="T52" s="138"/>
      <c r="U52" s="139"/>
      <c r="V52" s="121"/>
      <c r="W52" s="140">
        <f>IFERROR(Table13[[#This Row],[Mtr_Net_Exp (KWh)]]/(24*AR52*1000),"")</f>
        <v>6.6666666666666666E-2</v>
      </c>
      <c r="X52" s="121">
        <f>IFERROR(_xlfn.XLOOKUP($A52,Input_Raw!$A:$A,Input_Raw!$CF:$CF),"")</f>
        <v>131285</v>
      </c>
      <c r="Y52" s="121">
        <f>IFERROR(_xlfn.XLOOKUP($A52,Input_Raw!$A:$A,Input_Raw!$CZ:$CZ),"")</f>
        <v>127200</v>
      </c>
      <c r="Z52" s="121">
        <f>IFERROR(_xlfn.XLOOKUP($A52,Input_Raw!$A:$A,Input_Raw!$DA:$DA),"")</f>
        <v>2400</v>
      </c>
      <c r="AA52" s="123">
        <f t="shared" si="5"/>
        <v>124800</v>
      </c>
      <c r="AB52" s="121">
        <f>IFERROR(_xlfn.XLOOKUP($A52,Input_Raw!$A:$A,Input_Raw!$DG:$DG),"")</f>
        <v>78</v>
      </c>
      <c r="AC52" s="141">
        <f>IFERROR(_xlfn.XLOOKUP($D52,'Modelling New'!$D:$D,'Modelling New'!$J:$J),"")</f>
        <v>6.5666666666666664</v>
      </c>
      <c r="AD52" s="123">
        <f>IFERROR(_xlfn.XLOOKUP($D52,'Modelling New'!$D:$D,'Modelling New'!$T:$T)*1000,"")</f>
        <v>558388.39265938452</v>
      </c>
      <c r="AE52" s="140"/>
      <c r="AF52" s="140">
        <f>IFERROR(_xlfn.XLOOKUP($D52,'Modelling New'!$D:$D,'Modelling New'!$W:$W),"")</f>
        <v>0.29828439778813276</v>
      </c>
      <c r="AG52" s="140">
        <f>IFERROR(_xlfn.XLOOKUP($D52,'Modelling New'!$D:$D,'Modelling New'!$AE:$AE),"")</f>
        <v>0.96029999999999993</v>
      </c>
      <c r="AH52" s="140">
        <f>IFERROR(_xlfn.XLOOKUP($D52,'Modelling New'!$D:$D,'Modelling New'!$AF:$AF),"")</f>
        <v>0.995</v>
      </c>
      <c r="AI52" s="121">
        <f>IFERROR(_xlfn.XLOOKUP($A52,Input_Raw!$A:$A,Input_Raw!$DE:$DE),"")</f>
        <v>131.28</v>
      </c>
      <c r="AJ52" s="121"/>
      <c r="AK52" s="121"/>
      <c r="AL52" s="121"/>
      <c r="AM52" s="121"/>
      <c r="AN52" s="142">
        <f>IFERROR(_xlfn.XLOOKUP($A52,Input_Raw!$A:$A,Input_Raw!$DB:$DB),"")</f>
        <v>3.1115512053928485E-2</v>
      </c>
      <c r="AO52" s="140">
        <f>IFERROR((_xlfn.XLOOKUP($A52,'WTG Reactive Power'!$A:$A,'WTG Reactive Power'!$AR:$AR))/X52/1000,"")</f>
        <v>6.3975320866816471E-5</v>
      </c>
      <c r="AP52" s="140">
        <f>IFERROR(_xlfn.XLOOKUP($D52,'Modelling New'!$D:$D,'Modelling New'!$AK:$AK),"")</f>
        <v>0.05</v>
      </c>
      <c r="AQ52" s="140">
        <f>IFERROR(_xlfn.XLOOKUP($D52,'Modelling New'!$D:$D,'Modelling New'!$AL:$AL),"")</f>
        <v>0.05</v>
      </c>
      <c r="AR52">
        <f>IFERROR(_xlfn.XLOOKUP($D52,'Modelling New'!$D:$D,'Modelling New'!$N:$N),"")</f>
        <v>78</v>
      </c>
    </row>
    <row r="53" spans="1:44">
      <c r="A53" s="134">
        <f t="shared" si="7"/>
        <v>45796</v>
      </c>
      <c r="B53" s="123">
        <f>YEAR(Table13[[#This Row],[Date]])+IF(MONTH(Table13[[#This Row],[Date]])&gt;=4,1,0)</f>
        <v>2026</v>
      </c>
      <c r="C53" s="121">
        <f>YEAR(Table13[[#This Row],[Date]])</f>
        <v>2025</v>
      </c>
      <c r="D53" s="135">
        <f>Table13[[#This Row],[Date]]-DAY(Table13[[#This Row],[Date]])+1</f>
        <v>45778</v>
      </c>
      <c r="E53" s="121">
        <f t="shared" si="4"/>
        <v>31</v>
      </c>
      <c r="F53" s="124"/>
      <c r="G53" s="125"/>
      <c r="H53" s="125"/>
      <c r="I53" s="125"/>
      <c r="J53" s="125"/>
      <c r="K53" s="136"/>
      <c r="L53" s="125"/>
      <c r="M53" s="125">
        <f>IFERROR(_xlfn.XLOOKUP($A53,Input_Raw!$A:$A,Input_Raw!CG:CG),"")</f>
        <v>3.4951282051282053</v>
      </c>
      <c r="N53" s="125">
        <f>IFERROR(_xlfn.XLOOKUP($A53,Input_Raw!$A:$A,Input_Raw!CH:CH),"")</f>
        <v>0</v>
      </c>
      <c r="O53" s="137">
        <f t="shared" si="6"/>
        <v>0.88466267439654123</v>
      </c>
      <c r="P53" s="137">
        <f>IFERROR(1-SUMIF(WTG_BD!$F:$F,$A53,WTG_BD!$AA:$AA)/($AA53+SUMIF(WTG_BD!$F:$F,$A53,WTG_BD!$AA:$AA)),"")</f>
        <v>0.92886838181817888</v>
      </c>
      <c r="Q53" s="138">
        <f>IFERROR(1-SUMIF(IGA_BD!$F:$F,$A53,IGA_BD!$V:$V)/($AA53+SUMIF(IGA_BD!$F:$F,$A53,IGA_BD!$V:$V)),"")</f>
        <v>0.95240907292472499</v>
      </c>
      <c r="R53" s="143">
        <f>IFERROR(1-SUMIF(Grid_BD!$F:$F,$A53,Grid_BD!$X:$X)/($AA53+SUMIF(Grid_BD!$F:$F,$A53,Grid_BD!$X:$X)),"")</f>
        <v>1</v>
      </c>
      <c r="S53" s="121"/>
      <c r="T53" s="138"/>
      <c r="U53" s="139"/>
      <c r="V53" s="121"/>
      <c r="W53" s="140">
        <f>IFERROR(Table13[[#This Row],[Mtr_Net_Exp (KWh)]]/(24*AR53*1000),"")</f>
        <v>7.179487179487179E-2</v>
      </c>
      <c r="X53" s="121">
        <f>IFERROR(_xlfn.XLOOKUP($A53,Input_Raw!$A:$A,Input_Raw!$CF:$CF),"")</f>
        <v>141695</v>
      </c>
      <c r="Y53" s="121">
        <f>IFERROR(_xlfn.XLOOKUP($A53,Input_Raw!$A:$A,Input_Raw!$CZ:$CZ),"")</f>
        <v>138000</v>
      </c>
      <c r="Z53" s="121">
        <f>IFERROR(_xlfn.XLOOKUP($A53,Input_Raw!$A:$A,Input_Raw!$DA:$DA),"")</f>
        <v>3600</v>
      </c>
      <c r="AA53" s="123">
        <f t="shared" si="5"/>
        <v>134400</v>
      </c>
      <c r="AB53" s="121">
        <f>IFERROR(_xlfn.XLOOKUP($A53,Input_Raw!$A:$A,Input_Raw!$DG:$DG),"")</f>
        <v>78</v>
      </c>
      <c r="AC53" s="141">
        <f>IFERROR(_xlfn.XLOOKUP($D53,'Modelling New'!$D:$D,'Modelling New'!$J:$J),"")</f>
        <v>6.5666666666666664</v>
      </c>
      <c r="AD53" s="123">
        <f>IFERROR(_xlfn.XLOOKUP($D53,'Modelling New'!$D:$D,'Modelling New'!$T:$T)*1000,"")</f>
        <v>558388.39265938452</v>
      </c>
      <c r="AE53" s="140"/>
      <c r="AF53" s="140">
        <f>IFERROR(_xlfn.XLOOKUP($D53,'Modelling New'!$D:$D,'Modelling New'!$W:$W),"")</f>
        <v>0.29828439778813276</v>
      </c>
      <c r="AG53" s="140">
        <f>IFERROR(_xlfn.XLOOKUP($D53,'Modelling New'!$D:$D,'Modelling New'!$AE:$AE),"")</f>
        <v>0.96029999999999993</v>
      </c>
      <c r="AH53" s="140">
        <f>IFERROR(_xlfn.XLOOKUP($D53,'Modelling New'!$D:$D,'Modelling New'!$AF:$AF),"")</f>
        <v>0.995</v>
      </c>
      <c r="AI53" s="121">
        <f>IFERROR(_xlfn.XLOOKUP($A53,Input_Raw!$A:$A,Input_Raw!$DE:$DE),"")</f>
        <v>141.69</v>
      </c>
      <c r="AJ53" s="121"/>
      <c r="AK53" s="121"/>
      <c r="AL53" s="121"/>
      <c r="AM53" s="121"/>
      <c r="AN53" s="142">
        <f>IFERROR(_xlfn.XLOOKUP($A53,Input_Raw!$A:$A,Input_Raw!$DB:$DB),"")</f>
        <v>2.6077137513673687E-2</v>
      </c>
      <c r="AO53" s="140">
        <f>IFERROR((_xlfn.XLOOKUP($A53,'WTG Reactive Power'!$A:$A,'WTG Reactive Power'!$AR:$AR))/X53/1000,"")</f>
        <v>1.3552348353858639E-4</v>
      </c>
      <c r="AP53" s="140">
        <f>IFERROR(_xlfn.XLOOKUP($D53,'Modelling New'!$D:$D,'Modelling New'!$AK:$AK),"")</f>
        <v>0.05</v>
      </c>
      <c r="AQ53" s="140">
        <f>IFERROR(_xlfn.XLOOKUP($D53,'Modelling New'!$D:$D,'Modelling New'!$AL:$AL),"")</f>
        <v>0.05</v>
      </c>
      <c r="AR53">
        <f>IFERROR(_xlfn.XLOOKUP($D53,'Modelling New'!$D:$D,'Modelling New'!$N:$N),"")</f>
        <v>78</v>
      </c>
    </row>
    <row r="54" spans="1:44">
      <c r="A54" s="134">
        <f t="shared" si="7"/>
        <v>45797</v>
      </c>
      <c r="B54" s="123">
        <f>YEAR(Table13[[#This Row],[Date]])+IF(MONTH(Table13[[#This Row],[Date]])&gt;=4,1,0)</f>
        <v>2026</v>
      </c>
      <c r="C54" s="121">
        <f>YEAR(Table13[[#This Row],[Date]])</f>
        <v>2025</v>
      </c>
      <c r="D54" s="135">
        <f>Table13[[#This Row],[Date]]-DAY(Table13[[#This Row],[Date]])+1</f>
        <v>45778</v>
      </c>
      <c r="E54" s="121">
        <f t="shared" si="4"/>
        <v>31</v>
      </c>
      <c r="F54" s="124"/>
      <c r="G54" s="125"/>
      <c r="H54" s="125"/>
      <c r="I54" s="125"/>
      <c r="J54" s="125"/>
      <c r="K54" s="136"/>
      <c r="L54" s="125"/>
      <c r="M54" s="125">
        <f>IFERROR(_xlfn.XLOOKUP($A54,Input_Raw!$A:$A,Input_Raw!CG:CG),"")</f>
        <v>3.885204939707056</v>
      </c>
      <c r="N54" s="125">
        <f>IFERROR(_xlfn.XLOOKUP($A54,Input_Raw!$A:$A,Input_Raw!CH:CH),"")</f>
        <v>0</v>
      </c>
      <c r="O54" s="137">
        <f t="shared" si="6"/>
        <v>0.89470644776117714</v>
      </c>
      <c r="P54" s="137">
        <f>IFERROR(1-SUMIF(WTG_BD!$F:$F,$A54,WTG_BD!$AA:$AA)/($AA54+SUMIF(WTG_BD!$F:$F,$A54,WTG_BD!$AA:$AA)),"")</f>
        <v>0.92581579135858305</v>
      </c>
      <c r="Q54" s="138">
        <f>IFERROR(1-SUMIF(IGA_BD!$F:$F,$A54,IGA_BD!$V:$V)/($AA54+SUMIF(IGA_BD!$F:$F,$A54,IGA_BD!$V:$V)),"")</f>
        <v>0.9663979121032763</v>
      </c>
      <c r="R54" s="143">
        <f>IFERROR(1-SUMIF(Grid_BD!$F:$F,$A54,Grid_BD!$X:$X)/($AA54+SUMIF(Grid_BD!$F:$F,$A54,Grid_BD!$X:$X)),"")</f>
        <v>1</v>
      </c>
      <c r="S54" s="121"/>
      <c r="T54" s="138"/>
      <c r="U54" s="139"/>
      <c r="V54" s="121"/>
      <c r="W54" s="140">
        <f>IFERROR(Table13[[#This Row],[Mtr_Net_Exp (KWh)]]/(24*AR54*1000),"")</f>
        <v>9.2307692307692313E-2</v>
      </c>
      <c r="X54" s="121">
        <f>IFERROR(_xlfn.XLOOKUP($A54,Input_Raw!$A:$A,Input_Raw!$CF:$CF),"")</f>
        <v>178470</v>
      </c>
      <c r="Y54" s="121">
        <f>IFERROR(_xlfn.XLOOKUP($A54,Input_Raw!$A:$A,Input_Raw!$CZ:$CZ),"")</f>
        <v>176400</v>
      </c>
      <c r="Z54" s="121">
        <f>IFERROR(_xlfn.XLOOKUP($A54,Input_Raw!$A:$A,Input_Raw!$DA:$DA),"")</f>
        <v>3600</v>
      </c>
      <c r="AA54" s="123">
        <f t="shared" si="5"/>
        <v>172800</v>
      </c>
      <c r="AB54" s="121">
        <f>IFERROR(_xlfn.XLOOKUP($A54,Input_Raw!$A:$A,Input_Raw!$DG:$DG),"")</f>
        <v>78</v>
      </c>
      <c r="AC54" s="141">
        <f>IFERROR(_xlfn.XLOOKUP($D54,'Modelling New'!$D:$D,'Modelling New'!$J:$J),"")</f>
        <v>6.5666666666666664</v>
      </c>
      <c r="AD54" s="123">
        <f>IFERROR(_xlfn.XLOOKUP($D54,'Modelling New'!$D:$D,'Modelling New'!$T:$T)*1000,"")</f>
        <v>558388.39265938452</v>
      </c>
      <c r="AE54" s="140"/>
      <c r="AF54" s="140">
        <f>IFERROR(_xlfn.XLOOKUP($D54,'Modelling New'!$D:$D,'Modelling New'!$W:$W),"")</f>
        <v>0.29828439778813276</v>
      </c>
      <c r="AG54" s="140">
        <f>IFERROR(_xlfn.XLOOKUP($D54,'Modelling New'!$D:$D,'Modelling New'!$AE:$AE),"")</f>
        <v>0.96029999999999993</v>
      </c>
      <c r="AH54" s="140">
        <f>IFERROR(_xlfn.XLOOKUP($D54,'Modelling New'!$D:$D,'Modelling New'!$AF:$AF),"")</f>
        <v>0.995</v>
      </c>
      <c r="AI54" s="121">
        <f>IFERROR(_xlfn.XLOOKUP($A54,Input_Raw!$A:$A,Input_Raw!$DE:$DE),"")</f>
        <v>178.47</v>
      </c>
      <c r="AJ54" s="121"/>
      <c r="AK54" s="121"/>
      <c r="AL54" s="121"/>
      <c r="AM54" s="121"/>
      <c r="AN54" s="142">
        <f>IFERROR(_xlfn.XLOOKUP($A54,Input_Raw!$A:$A,Input_Raw!$DB:$DB),"")</f>
        <v>1.1598587997982857E-2</v>
      </c>
      <c r="AO54" s="140">
        <f>IFERROR((_xlfn.XLOOKUP($A54,'WTG Reactive Power'!$A:$A,'WTG Reactive Power'!$AR:$AR))/X54/1000,"")</f>
        <v>4.0426962514708353E-5</v>
      </c>
      <c r="AP54" s="140">
        <f>IFERROR(_xlfn.XLOOKUP($D54,'Modelling New'!$D:$D,'Modelling New'!$AK:$AK),"")</f>
        <v>0.05</v>
      </c>
      <c r="AQ54" s="140">
        <f>IFERROR(_xlfn.XLOOKUP($D54,'Modelling New'!$D:$D,'Modelling New'!$AL:$AL),"")</f>
        <v>0.05</v>
      </c>
      <c r="AR54">
        <f>IFERROR(_xlfn.XLOOKUP($D54,'Modelling New'!$D:$D,'Modelling New'!$N:$N),"")</f>
        <v>78</v>
      </c>
    </row>
    <row r="55" spans="1:44">
      <c r="A55" s="134">
        <f t="shared" si="7"/>
        <v>45798</v>
      </c>
      <c r="B55" s="123">
        <f>YEAR(Table13[[#This Row],[Date]])+IF(MONTH(Table13[[#This Row],[Date]])&gt;=4,1,0)</f>
        <v>2026</v>
      </c>
      <c r="C55" s="121">
        <f>YEAR(Table13[[#This Row],[Date]])</f>
        <v>2025</v>
      </c>
      <c r="D55" s="135">
        <f>Table13[[#This Row],[Date]]-DAY(Table13[[#This Row],[Date]])+1</f>
        <v>45778</v>
      </c>
      <c r="E55" s="121">
        <f t="shared" si="4"/>
        <v>31</v>
      </c>
      <c r="F55" s="124"/>
      <c r="G55" s="125"/>
      <c r="H55" s="125"/>
      <c r="I55" s="125"/>
      <c r="J55" s="125"/>
      <c r="K55" s="136"/>
      <c r="L55" s="125"/>
      <c r="M55" s="125">
        <f>IFERROR(_xlfn.XLOOKUP($A55,Input_Raw!$A:$A,Input_Raw!CG:CG),"")</f>
        <v>3.5474358974358982</v>
      </c>
      <c r="N55" s="125">
        <f>IFERROR(_xlfn.XLOOKUP($A55,Input_Raw!$A:$A,Input_Raw!CH:CH),"")</f>
        <v>0</v>
      </c>
      <c r="O55" s="137">
        <f t="shared" si="6"/>
        <v>0.91579509966185646</v>
      </c>
      <c r="P55" s="137">
        <f>IFERROR(1-SUMIF(WTG_BD!$F:$F,$A55,WTG_BD!$AA:$AA)/($AA55+SUMIF(WTG_BD!$F:$F,$A55,WTG_BD!$AA:$AA)),"")</f>
        <v>0.92784503518372297</v>
      </c>
      <c r="Q55" s="138">
        <f>IFERROR(1-SUMIF(IGA_BD!$F:$F,$A55,IGA_BD!$V:$V)/($AA55+SUMIF(IGA_BD!$F:$F,$A55,IGA_BD!$V:$V)),"")</f>
        <v>0.98701298701298701</v>
      </c>
      <c r="R55" s="143">
        <f>IFERROR(1-SUMIF(Grid_BD!$F:$F,$A55,Grid_BD!$X:$X)/($AA55+SUMIF(Grid_BD!$F:$F,$A55,Grid_BD!$X:$X)),"")</f>
        <v>1</v>
      </c>
      <c r="S55" s="121"/>
      <c r="T55" s="138"/>
      <c r="U55" s="139"/>
      <c r="V55" s="121"/>
      <c r="W55" s="140">
        <f>IFERROR(Table13[[#This Row],[Mtr_Net_Exp (KWh)]]/(24*AR55*1000),"")</f>
        <v>9.7435897435897437E-2</v>
      </c>
      <c r="X55" s="121">
        <f>IFERROR(_xlfn.XLOOKUP($A55,Input_Raw!$A:$A,Input_Raw!$CF:$CF),"")</f>
        <v>191723</v>
      </c>
      <c r="Y55" s="121">
        <f>IFERROR(_xlfn.XLOOKUP($A55,Input_Raw!$A:$A,Input_Raw!$CZ:$CZ),"")</f>
        <v>187200</v>
      </c>
      <c r="Z55" s="121">
        <f>IFERROR(_xlfn.XLOOKUP($A55,Input_Raw!$A:$A,Input_Raw!$DA:$DA),"")</f>
        <v>4800</v>
      </c>
      <c r="AA55" s="123">
        <f t="shared" si="5"/>
        <v>182400</v>
      </c>
      <c r="AB55" s="121">
        <f>IFERROR(_xlfn.XLOOKUP($A55,Input_Raw!$A:$A,Input_Raw!$DG:$DG),"")</f>
        <v>78</v>
      </c>
      <c r="AC55" s="141">
        <f>IFERROR(_xlfn.XLOOKUP($D55,'Modelling New'!$D:$D,'Modelling New'!$J:$J),"")</f>
        <v>6.5666666666666664</v>
      </c>
      <c r="AD55" s="123">
        <f>IFERROR(_xlfn.XLOOKUP($D55,'Modelling New'!$D:$D,'Modelling New'!$T:$T)*1000,"")</f>
        <v>558388.39265938452</v>
      </c>
      <c r="AE55" s="140"/>
      <c r="AF55" s="140">
        <f>IFERROR(_xlfn.XLOOKUP($D55,'Modelling New'!$D:$D,'Modelling New'!$W:$W),"")</f>
        <v>0.29828439778813276</v>
      </c>
      <c r="AG55" s="140">
        <f>IFERROR(_xlfn.XLOOKUP($D55,'Modelling New'!$D:$D,'Modelling New'!$AE:$AE),"")</f>
        <v>0.96029999999999993</v>
      </c>
      <c r="AH55" s="140">
        <f>IFERROR(_xlfn.XLOOKUP($D55,'Modelling New'!$D:$D,'Modelling New'!$AF:$AF),"")</f>
        <v>0.995</v>
      </c>
      <c r="AI55" s="121">
        <f>IFERROR(_xlfn.XLOOKUP($A55,Input_Raw!$A:$A,Input_Raw!$DE:$DE),"")</f>
        <v>191.73</v>
      </c>
      <c r="AJ55" s="121"/>
      <c r="AK55" s="121"/>
      <c r="AL55" s="121"/>
      <c r="AM55" s="121"/>
      <c r="AN55" s="142">
        <f>IFERROR(_xlfn.XLOOKUP($A55,Input_Raw!$A:$A,Input_Raw!$DB:$DB),"")</f>
        <v>2.3591327070826118E-2</v>
      </c>
      <c r="AO55" s="140">
        <f>IFERROR((_xlfn.XLOOKUP($A55,'WTG Reactive Power'!$A:$A,'WTG Reactive Power'!$AR:$AR))/X55/1000,"")</f>
        <v>2.5088278401652383E-5</v>
      </c>
      <c r="AP55" s="140">
        <f>IFERROR(_xlfn.XLOOKUP($D55,'Modelling New'!$D:$D,'Modelling New'!$AK:$AK),"")</f>
        <v>0.05</v>
      </c>
      <c r="AQ55" s="140">
        <f>IFERROR(_xlfn.XLOOKUP($D55,'Modelling New'!$D:$D,'Modelling New'!$AL:$AL),"")</f>
        <v>0.05</v>
      </c>
      <c r="AR55">
        <f>IFERROR(_xlfn.XLOOKUP($D55,'Modelling New'!$D:$D,'Modelling New'!$N:$N),"")</f>
        <v>78</v>
      </c>
    </row>
    <row r="56" spans="1:44">
      <c r="A56" s="134">
        <f t="shared" si="7"/>
        <v>45799</v>
      </c>
      <c r="B56" s="123">
        <f>YEAR(Table13[[#This Row],[Date]])+IF(MONTH(Table13[[#This Row],[Date]])&gt;=4,1,0)</f>
        <v>2026</v>
      </c>
      <c r="C56" s="121">
        <f>YEAR(Table13[[#This Row],[Date]])</f>
        <v>2025</v>
      </c>
      <c r="D56" s="135">
        <f>Table13[[#This Row],[Date]]-DAY(Table13[[#This Row],[Date]])+1</f>
        <v>45778</v>
      </c>
      <c r="E56" s="121">
        <f t="shared" si="4"/>
        <v>31</v>
      </c>
      <c r="F56" s="124"/>
      <c r="G56" s="125"/>
      <c r="H56" s="125"/>
      <c r="I56" s="125"/>
      <c r="J56" s="125"/>
      <c r="K56" s="136"/>
      <c r="L56" s="125"/>
      <c r="M56" s="125">
        <f>IFERROR(_xlfn.XLOOKUP($A56,Input_Raw!$A:$A,Input_Raw!CG:CG),"")</f>
        <v>4.8055263157894732</v>
      </c>
      <c r="N56" s="125">
        <f>IFERROR(_xlfn.XLOOKUP($A56,Input_Raw!$A:$A,Input_Raw!CH:CH),"")</f>
        <v>0</v>
      </c>
      <c r="O56" s="137">
        <f t="shared" si="6"/>
        <v>0.9290877121601564</v>
      </c>
      <c r="P56" s="137">
        <f>IFERROR(1-SUMIF(WTG_BD!$F:$F,$A56,WTG_BD!$AA:$AA)/($AA56+SUMIF(WTG_BD!$F:$F,$A56,WTG_BD!$AA:$AA)),"")</f>
        <v>0.9290877121601564</v>
      </c>
      <c r="Q56" s="138">
        <f>IFERROR(1-SUMIF(IGA_BD!$F:$F,$A56,IGA_BD!$V:$V)/($AA56+SUMIF(IGA_BD!$F:$F,$A56,IGA_BD!$V:$V)),"")</f>
        <v>1</v>
      </c>
      <c r="R56" s="143">
        <f>IFERROR(1-SUMIF(Grid_BD!$F:$F,$A56,Grid_BD!$X:$X)/($AA56+SUMIF(Grid_BD!$F:$F,$A56,Grid_BD!$X:$X)),"")</f>
        <v>1</v>
      </c>
      <c r="S56" s="121"/>
      <c r="T56" s="138"/>
      <c r="U56" s="139"/>
      <c r="V56" s="121"/>
      <c r="W56" s="140">
        <f>IFERROR(Table13[[#This Row],[Mtr_Net_Exp (KWh)]]/(24*AR56*1000),"")</f>
        <v>0.15</v>
      </c>
      <c r="X56" s="121">
        <f>IFERROR(_xlfn.XLOOKUP($A56,Input_Raw!$A:$A,Input_Raw!$CF:$CF),"")</f>
        <v>286041</v>
      </c>
      <c r="Y56" s="121">
        <f>IFERROR(_xlfn.XLOOKUP($A56,Input_Raw!$A:$A,Input_Raw!$CZ:$CZ),"")</f>
        <v>285600</v>
      </c>
      <c r="Z56" s="121">
        <f>IFERROR(_xlfn.XLOOKUP($A56,Input_Raw!$A:$A,Input_Raw!$DA:$DA),"")</f>
        <v>4800</v>
      </c>
      <c r="AA56" s="123">
        <f t="shared" si="5"/>
        <v>280800</v>
      </c>
      <c r="AB56" s="121">
        <f>IFERROR(_xlfn.XLOOKUP($A56,Input_Raw!$A:$A,Input_Raw!$DG:$DG),"")</f>
        <v>78</v>
      </c>
      <c r="AC56" s="141">
        <f>IFERROR(_xlfn.XLOOKUP($D56,'Modelling New'!$D:$D,'Modelling New'!$J:$J),"")</f>
        <v>6.5666666666666664</v>
      </c>
      <c r="AD56" s="123">
        <f>IFERROR(_xlfn.XLOOKUP($D56,'Modelling New'!$D:$D,'Modelling New'!$T:$T)*1000,"")</f>
        <v>558388.39265938452</v>
      </c>
      <c r="AE56" s="140"/>
      <c r="AF56" s="140">
        <f>IFERROR(_xlfn.XLOOKUP($D56,'Modelling New'!$D:$D,'Modelling New'!$W:$W),"")</f>
        <v>0.29828439778813276</v>
      </c>
      <c r="AG56" s="140">
        <f>IFERROR(_xlfn.XLOOKUP($D56,'Modelling New'!$D:$D,'Modelling New'!$AE:$AE),"")</f>
        <v>0.96029999999999993</v>
      </c>
      <c r="AH56" s="140">
        <f>IFERROR(_xlfn.XLOOKUP($D56,'Modelling New'!$D:$D,'Modelling New'!$AF:$AF),"")</f>
        <v>0.995</v>
      </c>
      <c r="AI56" s="121">
        <f>IFERROR(_xlfn.XLOOKUP($A56,Input_Raw!$A:$A,Input_Raw!$DE:$DE),"")</f>
        <v>286.08</v>
      </c>
      <c r="AJ56" s="121"/>
      <c r="AK56" s="121"/>
      <c r="AL56" s="121"/>
      <c r="AM56" s="121"/>
      <c r="AN56" s="142">
        <f>IFERROR(_xlfn.XLOOKUP($A56,Input_Raw!$A:$A,Input_Raw!$DB:$DB),"")</f>
        <v>1.5417370237134076E-3</v>
      </c>
      <c r="AO56" s="140">
        <f>IFERROR((_xlfn.XLOOKUP($A56,'WTG Reactive Power'!$A:$A,'WTG Reactive Power'!$AR:$AR))/X56/1000,"")</f>
        <v>7.1402351411161338E-5</v>
      </c>
      <c r="AP56" s="140">
        <f>IFERROR(_xlfn.XLOOKUP($D56,'Modelling New'!$D:$D,'Modelling New'!$AK:$AK),"")</f>
        <v>0.05</v>
      </c>
      <c r="AQ56" s="140">
        <f>IFERROR(_xlfn.XLOOKUP($D56,'Modelling New'!$D:$D,'Modelling New'!$AL:$AL),"")</f>
        <v>0.05</v>
      </c>
      <c r="AR56">
        <f>IFERROR(_xlfn.XLOOKUP($D56,'Modelling New'!$D:$D,'Modelling New'!$N:$N),"")</f>
        <v>78</v>
      </c>
    </row>
    <row r="57" spans="1:44">
      <c r="A57" s="134">
        <f t="shared" si="7"/>
        <v>45800</v>
      </c>
      <c r="B57" s="123">
        <f>YEAR(Table13[[#This Row],[Date]])+IF(MONTH(Table13[[#This Row],[Date]])&gt;=4,1,0)</f>
        <v>2026</v>
      </c>
      <c r="C57" s="121">
        <f>YEAR(Table13[[#This Row],[Date]])</f>
        <v>2025</v>
      </c>
      <c r="D57" s="135">
        <f>Table13[[#This Row],[Date]]-DAY(Table13[[#This Row],[Date]])+1</f>
        <v>45778</v>
      </c>
      <c r="E57" s="121">
        <f t="shared" si="4"/>
        <v>31</v>
      </c>
      <c r="F57" s="124"/>
      <c r="G57" s="125"/>
      <c r="H57" s="125"/>
      <c r="I57" s="125"/>
      <c r="J57" s="125"/>
      <c r="K57" s="136"/>
      <c r="L57" s="125"/>
      <c r="M57" s="125">
        <f>IFERROR(_xlfn.XLOOKUP($A57,Input_Raw!$A:$A,Input_Raw!CG:CG),"")</f>
        <v>2.9906115795012349</v>
      </c>
      <c r="N57" s="125">
        <f>IFERROR(_xlfn.XLOOKUP($A57,Input_Raw!$A:$A,Input_Raw!CH:CH),"")</f>
        <v>0</v>
      </c>
      <c r="O57" s="137">
        <f t="shared" si="6"/>
        <v>0.87137577702775515</v>
      </c>
      <c r="P57" s="137">
        <f>IFERROR(1-SUMIF(WTG_BD!$F:$F,$A57,WTG_BD!$AA:$AA)/($AA57+SUMIF(WTG_BD!$F:$F,$A57,WTG_BD!$AA:$AA)),"")</f>
        <v>0.93583044571993867</v>
      </c>
      <c r="Q57" s="138">
        <f>IFERROR(1-SUMIF(IGA_BD!$F:$F,$A57,IGA_BD!$V:$V)/($AA57+SUMIF(IGA_BD!$F:$F,$A57,IGA_BD!$V:$V)),"")</f>
        <v>0.93112569805035761</v>
      </c>
      <c r="R57" s="143">
        <f>IFERROR(1-SUMIF(Grid_BD!$F:$F,$A57,Grid_BD!$X:$X)/($AA57+SUMIF(Grid_BD!$F:$F,$A57,Grid_BD!$X:$X)),"")</f>
        <v>1</v>
      </c>
      <c r="S57" s="121"/>
      <c r="T57" s="138"/>
      <c r="U57" s="139"/>
      <c r="V57" s="121"/>
      <c r="W57" s="140">
        <f>IFERROR(Table13[[#This Row],[Mtr_Net_Exp (KWh)]]/(24*AR57*1000),"")</f>
        <v>4.230769230769231E-2</v>
      </c>
      <c r="X57" s="121">
        <f>IFERROR(_xlfn.XLOOKUP($A57,Input_Raw!$A:$A,Input_Raw!$CF:$CF),"")</f>
        <v>87964</v>
      </c>
      <c r="Y57" s="121">
        <f>IFERROR(_xlfn.XLOOKUP($A57,Input_Raw!$A:$A,Input_Raw!$CZ:$CZ),"")</f>
        <v>84000</v>
      </c>
      <c r="Z57" s="121">
        <f>IFERROR(_xlfn.XLOOKUP($A57,Input_Raw!$A:$A,Input_Raw!$DA:$DA),"")</f>
        <v>4800</v>
      </c>
      <c r="AA57" s="123">
        <f t="shared" si="5"/>
        <v>79200</v>
      </c>
      <c r="AB57" s="121">
        <f>IFERROR(_xlfn.XLOOKUP($A57,Input_Raw!$A:$A,Input_Raw!$DG:$DG),"")</f>
        <v>78</v>
      </c>
      <c r="AC57" s="141">
        <f>IFERROR(_xlfn.XLOOKUP($D57,'Modelling New'!$D:$D,'Modelling New'!$J:$J),"")</f>
        <v>6.5666666666666664</v>
      </c>
      <c r="AD57" s="123">
        <f>IFERROR(_xlfn.XLOOKUP($D57,'Modelling New'!$D:$D,'Modelling New'!$T:$T)*1000,"")</f>
        <v>558388.39265938452</v>
      </c>
      <c r="AE57" s="140"/>
      <c r="AF57" s="140">
        <f>IFERROR(_xlfn.XLOOKUP($D57,'Modelling New'!$D:$D,'Modelling New'!$W:$W),"")</f>
        <v>0.29828439778813276</v>
      </c>
      <c r="AG57" s="140">
        <f>IFERROR(_xlfn.XLOOKUP($D57,'Modelling New'!$D:$D,'Modelling New'!$AE:$AE),"")</f>
        <v>0.96029999999999993</v>
      </c>
      <c r="AH57" s="140">
        <f>IFERROR(_xlfn.XLOOKUP($D57,'Modelling New'!$D:$D,'Modelling New'!$AF:$AF),"")</f>
        <v>0.995</v>
      </c>
      <c r="AI57" s="121">
        <f>IFERROR(_xlfn.XLOOKUP($A57,Input_Raw!$A:$A,Input_Raw!$DE:$DE),"")</f>
        <v>87.96</v>
      </c>
      <c r="AJ57" s="121"/>
      <c r="AK57" s="121"/>
      <c r="AL57" s="121"/>
      <c r="AM57" s="121"/>
      <c r="AN57" s="142">
        <f>IFERROR(_xlfn.XLOOKUP($A57,Input_Raw!$A:$A,Input_Raw!$DB:$DB),"")</f>
        <v>4.506388977308895E-2</v>
      </c>
      <c r="AO57" s="140">
        <f>IFERROR((_xlfn.XLOOKUP($A57,'WTG Reactive Power'!$A:$A,'WTG Reactive Power'!$AR:$AR))/X57/1000,"")</f>
        <v>2.0484516393069893E-4</v>
      </c>
      <c r="AP57" s="140">
        <f>IFERROR(_xlfn.XLOOKUP($D57,'Modelling New'!$D:$D,'Modelling New'!$AK:$AK),"")</f>
        <v>0.05</v>
      </c>
      <c r="AQ57" s="140">
        <f>IFERROR(_xlfn.XLOOKUP($D57,'Modelling New'!$D:$D,'Modelling New'!$AL:$AL),"")</f>
        <v>0.05</v>
      </c>
      <c r="AR57">
        <f>IFERROR(_xlfn.XLOOKUP($D57,'Modelling New'!$D:$D,'Modelling New'!$N:$N),"")</f>
        <v>78</v>
      </c>
    </row>
    <row r="58" spans="1:44">
      <c r="A58" s="134">
        <f t="shared" si="7"/>
        <v>45801</v>
      </c>
      <c r="B58" s="123">
        <f>YEAR(Table13[[#This Row],[Date]])+IF(MONTH(Table13[[#This Row],[Date]])&gt;=4,1,0)</f>
        <v>2026</v>
      </c>
      <c r="C58" s="121">
        <f>YEAR(Table13[[#This Row],[Date]])</f>
        <v>2025</v>
      </c>
      <c r="D58" s="135">
        <f>Table13[[#This Row],[Date]]-DAY(Table13[[#This Row],[Date]])+1</f>
        <v>45778</v>
      </c>
      <c r="E58" s="121">
        <f t="shared" si="4"/>
        <v>31</v>
      </c>
      <c r="F58" s="124"/>
      <c r="G58" s="125"/>
      <c r="H58" s="125"/>
      <c r="I58" s="125"/>
      <c r="J58" s="125"/>
      <c r="K58" s="136"/>
      <c r="L58" s="125"/>
      <c r="M58" s="125">
        <f>IFERROR(_xlfn.XLOOKUP($A58,Input_Raw!$A:$A,Input_Raw!CG:CG),"")</f>
        <v>4.6823076923076918</v>
      </c>
      <c r="N58" s="125">
        <f>IFERROR(_xlfn.XLOOKUP($A58,Input_Raw!$A:$A,Input_Raw!CH:CH),"")</f>
        <v>0</v>
      </c>
      <c r="O58" s="137">
        <f t="shared" si="6"/>
        <v>0.92521193114383249</v>
      </c>
      <c r="P58" s="137">
        <f>IFERROR(1-SUMIF(WTG_BD!$F:$F,$A58,WTG_BD!$AA:$AA)/($AA58+SUMIF(WTG_BD!$F:$F,$A58,WTG_BD!$AA:$AA)),"")</f>
        <v>0.93167459467230174</v>
      </c>
      <c r="Q58" s="138">
        <f>IFERROR(1-SUMIF(IGA_BD!$F:$F,$A58,IGA_BD!$V:$V)/($AA58+SUMIF(IGA_BD!$F:$F,$A58,IGA_BD!$V:$V)),"")</f>
        <v>0.99306338976566988</v>
      </c>
      <c r="R58" s="143">
        <f>IFERROR(1-SUMIF(Grid_BD!$F:$F,$A58,Grid_BD!$X:$X)/($AA58+SUMIF(Grid_BD!$F:$F,$A58,Grid_BD!$X:$X)),"")</f>
        <v>1</v>
      </c>
      <c r="S58" s="121"/>
      <c r="T58" s="138"/>
      <c r="U58" s="139"/>
      <c r="V58" s="121"/>
      <c r="W58" s="140">
        <f>IFERROR(Table13[[#This Row],[Mtr_Net_Exp (KWh)]]/(24*AR58*1000),"")</f>
        <v>0.13589743589743589</v>
      </c>
      <c r="X58" s="121">
        <f>IFERROR(_xlfn.XLOOKUP($A58,Input_Raw!$A:$A,Input_Raw!$CF:$CF),"")</f>
        <v>261720</v>
      </c>
      <c r="Y58" s="121">
        <f>IFERROR(_xlfn.XLOOKUP($A58,Input_Raw!$A:$A,Input_Raw!$CZ:$CZ),"")</f>
        <v>258000</v>
      </c>
      <c r="Z58" s="121">
        <f>IFERROR(_xlfn.XLOOKUP($A58,Input_Raw!$A:$A,Input_Raw!$DA:$DA),"")</f>
        <v>3600</v>
      </c>
      <c r="AA58" s="123">
        <f t="shared" si="5"/>
        <v>254400</v>
      </c>
      <c r="AB58" s="121">
        <f>IFERROR(_xlfn.XLOOKUP($A58,Input_Raw!$A:$A,Input_Raw!$DG:$DG),"")</f>
        <v>78</v>
      </c>
      <c r="AC58" s="141">
        <f>IFERROR(_xlfn.XLOOKUP($D58,'Modelling New'!$D:$D,'Modelling New'!$J:$J),"")</f>
        <v>6.5666666666666664</v>
      </c>
      <c r="AD58" s="123">
        <f>IFERROR(_xlfn.XLOOKUP($D58,'Modelling New'!$D:$D,'Modelling New'!$T:$T)*1000,"")</f>
        <v>558388.39265938452</v>
      </c>
      <c r="AE58" s="140"/>
      <c r="AF58" s="140">
        <f>IFERROR(_xlfn.XLOOKUP($D58,'Modelling New'!$D:$D,'Modelling New'!$W:$W),"")</f>
        <v>0.29828439778813276</v>
      </c>
      <c r="AG58" s="140">
        <f>IFERROR(_xlfn.XLOOKUP($D58,'Modelling New'!$D:$D,'Modelling New'!$AE:$AE),"")</f>
        <v>0.96029999999999993</v>
      </c>
      <c r="AH58" s="140">
        <f>IFERROR(_xlfn.XLOOKUP($D58,'Modelling New'!$D:$D,'Modelling New'!$AF:$AF),"")</f>
        <v>0.995</v>
      </c>
      <c r="AI58" s="121">
        <f>IFERROR(_xlfn.XLOOKUP($A58,Input_Raw!$A:$A,Input_Raw!$DE:$DE),"")</f>
        <v>261.72000000000003</v>
      </c>
      <c r="AJ58" s="121"/>
      <c r="AK58" s="121"/>
      <c r="AL58" s="121"/>
      <c r="AM58" s="121"/>
      <c r="AN58" s="142">
        <f>IFERROR(_xlfn.XLOOKUP($A58,Input_Raw!$A:$A,Input_Raw!$DB:$DB),"")</f>
        <v>1.421366345712971E-2</v>
      </c>
      <c r="AO58" s="140">
        <f>IFERROR((_xlfn.XLOOKUP($A58,'WTG Reactive Power'!$A:$A,'WTG Reactive Power'!$AR:$AR))/X58/1000,"")</f>
        <v>2.3043710836007948E-5</v>
      </c>
      <c r="AP58" s="140">
        <f>IFERROR(_xlfn.XLOOKUP($D58,'Modelling New'!$D:$D,'Modelling New'!$AK:$AK),"")</f>
        <v>0.05</v>
      </c>
      <c r="AQ58" s="140">
        <f>IFERROR(_xlfn.XLOOKUP($D58,'Modelling New'!$D:$D,'Modelling New'!$AL:$AL),"")</f>
        <v>0.05</v>
      </c>
      <c r="AR58">
        <f>IFERROR(_xlfn.XLOOKUP($D58,'Modelling New'!$D:$D,'Modelling New'!$N:$N),"")</f>
        <v>78</v>
      </c>
    </row>
    <row r="59" spans="1:44">
      <c r="A59" s="134">
        <f t="shared" si="7"/>
        <v>45802</v>
      </c>
      <c r="B59" s="123">
        <f>YEAR(Table13[[#This Row],[Date]])+IF(MONTH(Table13[[#This Row],[Date]])&gt;=4,1,0)</f>
        <v>2026</v>
      </c>
      <c r="C59" s="121">
        <f>YEAR(Table13[[#This Row],[Date]])</f>
        <v>2025</v>
      </c>
      <c r="D59" s="135">
        <f>Table13[[#This Row],[Date]]-DAY(Table13[[#This Row],[Date]])+1</f>
        <v>45778</v>
      </c>
      <c r="E59" s="121">
        <f t="shared" si="4"/>
        <v>31</v>
      </c>
      <c r="F59" s="124"/>
      <c r="G59" s="125"/>
      <c r="H59" s="125"/>
      <c r="I59" s="125"/>
      <c r="J59" s="125"/>
      <c r="K59" s="136"/>
      <c r="L59" s="125"/>
      <c r="M59" s="125">
        <f>IFERROR(_xlfn.XLOOKUP($A59,Input_Raw!$A:$A,Input_Raw!CG:CG),"")</f>
        <v>3.885204939707056</v>
      </c>
      <c r="N59" s="125">
        <f>IFERROR(_xlfn.XLOOKUP($A59,Input_Raw!$A:$A,Input_Raw!CH:CH),"")</f>
        <v>0</v>
      </c>
      <c r="O59" s="137">
        <f t="shared" si="6"/>
        <v>0.94276978554459556</v>
      </c>
      <c r="P59" s="137">
        <f>IFERROR(1-SUMIF(WTG_BD!$F:$F,$A59,WTG_BD!$AA:$AA)/($AA59+SUMIF(WTG_BD!$F:$F,$A59,WTG_BD!$AA:$AA)),"")</f>
        <v>0.94276978554459556</v>
      </c>
      <c r="Q59" s="138">
        <f>IFERROR(1-SUMIF(IGA_BD!$F:$F,$A59,IGA_BD!$V:$V)/($AA59+SUMIF(IGA_BD!$F:$F,$A59,IGA_BD!$V:$V)),"")</f>
        <v>1</v>
      </c>
      <c r="R59" s="143">
        <f>IFERROR(1-SUMIF(Grid_BD!$F:$F,$A59,Grid_BD!$X:$X)/($AA59+SUMIF(Grid_BD!$F:$F,$A59,Grid_BD!$X:$X)),"")</f>
        <v>1</v>
      </c>
      <c r="S59" s="121"/>
      <c r="T59" s="138"/>
      <c r="U59" s="139"/>
      <c r="V59" s="121"/>
      <c r="W59" s="140">
        <f>IFERROR(Table13[[#This Row],[Mtr_Net_Exp (KWh)]]/(24*AR59*1000),"")</f>
        <v>0.12307692307692308</v>
      </c>
      <c r="X59" s="121">
        <f>IFERROR(_xlfn.XLOOKUP($A59,Input_Raw!$A:$A,Input_Raw!$CF:$CF),"")</f>
        <v>236447</v>
      </c>
      <c r="Y59" s="121">
        <f>IFERROR(_xlfn.XLOOKUP($A59,Input_Raw!$A:$A,Input_Raw!$CZ:$CZ),"")</f>
        <v>231600</v>
      </c>
      <c r="Z59" s="121">
        <f>IFERROR(_xlfn.XLOOKUP($A59,Input_Raw!$A:$A,Input_Raw!$DA:$DA),"")</f>
        <v>1200</v>
      </c>
      <c r="AA59" s="123">
        <f t="shared" si="5"/>
        <v>230400</v>
      </c>
      <c r="AB59" s="121">
        <f>IFERROR(_xlfn.XLOOKUP($A59,Input_Raw!$A:$A,Input_Raw!$DG:$DG),"")</f>
        <v>78</v>
      </c>
      <c r="AC59" s="141">
        <f>IFERROR(_xlfn.XLOOKUP($D59,'Modelling New'!$D:$D,'Modelling New'!$J:$J),"")</f>
        <v>6.5666666666666664</v>
      </c>
      <c r="AD59" s="123">
        <f>IFERROR(_xlfn.XLOOKUP($D59,'Modelling New'!$D:$D,'Modelling New'!$T:$T)*1000,"")</f>
        <v>558388.39265938452</v>
      </c>
      <c r="AE59" s="140"/>
      <c r="AF59" s="140">
        <f>IFERROR(_xlfn.XLOOKUP($D59,'Modelling New'!$D:$D,'Modelling New'!$W:$W),"")</f>
        <v>0.29828439778813276</v>
      </c>
      <c r="AG59" s="140">
        <f>IFERROR(_xlfn.XLOOKUP($D59,'Modelling New'!$D:$D,'Modelling New'!$AE:$AE),"")</f>
        <v>0.96029999999999993</v>
      </c>
      <c r="AH59" s="140">
        <f>IFERROR(_xlfn.XLOOKUP($D59,'Modelling New'!$D:$D,'Modelling New'!$AF:$AF),"")</f>
        <v>0.995</v>
      </c>
      <c r="AI59" s="121">
        <f>IFERROR(_xlfn.XLOOKUP($A59,Input_Raw!$A:$A,Input_Raw!$DE:$DE),"")</f>
        <v>236.44</v>
      </c>
      <c r="AJ59" s="121"/>
      <c r="AK59" s="121"/>
      <c r="AL59" s="121"/>
      <c r="AM59" s="121"/>
      <c r="AN59" s="142">
        <f>IFERROR(_xlfn.XLOOKUP($A59,Input_Raw!$A:$A,Input_Raw!$DB:$DB),"")</f>
        <v>2.0499308513112879E-2</v>
      </c>
      <c r="AO59" s="140">
        <f>IFERROR((_xlfn.XLOOKUP($A59,'WTG Reactive Power'!$A:$A,'WTG Reactive Power'!$AR:$AR))/X59/1000,"")</f>
        <v>2.5506773188071747E-5</v>
      </c>
      <c r="AP59" s="140">
        <f>IFERROR(_xlfn.XLOOKUP($D59,'Modelling New'!$D:$D,'Modelling New'!$AK:$AK),"")</f>
        <v>0.05</v>
      </c>
      <c r="AQ59" s="140">
        <f>IFERROR(_xlfn.XLOOKUP($D59,'Modelling New'!$D:$D,'Modelling New'!$AL:$AL),"")</f>
        <v>0.05</v>
      </c>
      <c r="AR59">
        <f>IFERROR(_xlfn.XLOOKUP($D59,'Modelling New'!$D:$D,'Modelling New'!$N:$N),"")</f>
        <v>78</v>
      </c>
    </row>
    <row r="60" spans="1:44">
      <c r="A60" s="134">
        <f t="shared" si="7"/>
        <v>45803</v>
      </c>
      <c r="B60" s="123">
        <f>YEAR(Table13[[#This Row],[Date]])+IF(MONTH(Table13[[#This Row],[Date]])&gt;=4,1,0)</f>
        <v>2026</v>
      </c>
      <c r="C60" s="121">
        <f>YEAR(Table13[[#This Row],[Date]])</f>
        <v>2025</v>
      </c>
      <c r="D60" s="135">
        <f>Table13[[#This Row],[Date]]-DAY(Table13[[#This Row],[Date]])+1</f>
        <v>45778</v>
      </c>
      <c r="E60" s="121">
        <f t="shared" si="4"/>
        <v>31</v>
      </c>
      <c r="F60" s="124"/>
      <c r="G60" s="125"/>
      <c r="H60" s="125"/>
      <c r="I60" s="125"/>
      <c r="J60" s="125"/>
      <c r="K60" s="136"/>
      <c r="L60" s="125"/>
      <c r="M60" s="125">
        <f>IFERROR(_xlfn.XLOOKUP($A60,Input_Raw!$A:$A,Input_Raw!CG:CG),"")</f>
        <v>3.4951282051282053</v>
      </c>
      <c r="N60" s="125">
        <f>IFERROR(_xlfn.XLOOKUP($A60,Input_Raw!$A:$A,Input_Raw!CH:CH),"")</f>
        <v>0</v>
      </c>
      <c r="O60" s="137">
        <f t="shared" si="6"/>
        <v>0.92826352201155005</v>
      </c>
      <c r="P60" s="137">
        <f>IFERROR(1-SUMIF(WTG_BD!$F:$F,$A60,WTG_BD!$AA:$AA)/($AA60+SUMIF(WTG_BD!$F:$F,$A60,WTG_BD!$AA:$AA)),"")</f>
        <v>0.92826352201155005</v>
      </c>
      <c r="Q60" s="138">
        <f>IFERROR(1-SUMIF(IGA_BD!$F:$F,$A60,IGA_BD!$V:$V)/($AA60+SUMIF(IGA_BD!$F:$F,$A60,IGA_BD!$V:$V)),"")</f>
        <v>1</v>
      </c>
      <c r="R60" s="143">
        <f>IFERROR(1-SUMIF(Grid_BD!$F:$F,$A60,Grid_BD!$X:$X)/($AA60+SUMIF(Grid_BD!$F:$F,$A60,Grid_BD!$X:$X)),"")</f>
        <v>1</v>
      </c>
      <c r="S60" s="121"/>
      <c r="T60" s="138"/>
      <c r="U60" s="139"/>
      <c r="V60" s="121"/>
      <c r="W60" s="140">
        <f>IFERROR(Table13[[#This Row],[Mtr_Net_Exp (KWh)]]/(24*AR60*1000),"")</f>
        <v>7.179487179487179E-2</v>
      </c>
      <c r="X60" s="121">
        <f>IFERROR(_xlfn.XLOOKUP($A60,Input_Raw!$A:$A,Input_Raw!$CF:$CF),"")</f>
        <v>140266</v>
      </c>
      <c r="Y60" s="121">
        <f>IFERROR(_xlfn.XLOOKUP($A60,Input_Raw!$A:$A,Input_Raw!$CZ:$CZ),"")</f>
        <v>138000</v>
      </c>
      <c r="Z60" s="121">
        <f>IFERROR(_xlfn.XLOOKUP($A60,Input_Raw!$A:$A,Input_Raw!$DA:$DA),"")</f>
        <v>3600</v>
      </c>
      <c r="AA60" s="123">
        <f t="shared" si="5"/>
        <v>134400</v>
      </c>
      <c r="AB60" s="121">
        <f>IFERROR(_xlfn.XLOOKUP($A60,Input_Raw!$A:$A,Input_Raw!$DG:$DG),"")</f>
        <v>78</v>
      </c>
      <c r="AC60" s="141">
        <f>IFERROR(_xlfn.XLOOKUP($D60,'Modelling New'!$D:$D,'Modelling New'!$J:$J),"")</f>
        <v>6.5666666666666664</v>
      </c>
      <c r="AD60" s="123">
        <f>IFERROR(_xlfn.XLOOKUP($D60,'Modelling New'!$D:$D,'Modelling New'!$T:$T)*1000,"")</f>
        <v>558388.39265938452</v>
      </c>
      <c r="AE60" s="140"/>
      <c r="AF60" s="140">
        <f>IFERROR(_xlfn.XLOOKUP($D60,'Modelling New'!$D:$D,'Modelling New'!$W:$W),"")</f>
        <v>0.29828439778813276</v>
      </c>
      <c r="AG60" s="140">
        <f>IFERROR(_xlfn.XLOOKUP($D60,'Modelling New'!$D:$D,'Modelling New'!$AE:$AE),"")</f>
        <v>0.96029999999999993</v>
      </c>
      <c r="AH60" s="140">
        <f>IFERROR(_xlfn.XLOOKUP($D60,'Modelling New'!$D:$D,'Modelling New'!$AF:$AF),"")</f>
        <v>0.995</v>
      </c>
      <c r="AI60" s="121">
        <f>IFERROR(_xlfn.XLOOKUP($A60,Input_Raw!$A:$A,Input_Raw!$DE:$DE),"")</f>
        <v>140.26</v>
      </c>
      <c r="AJ60" s="121"/>
      <c r="AK60" s="121"/>
      <c r="AL60" s="121"/>
      <c r="AM60" s="121"/>
      <c r="AN60" s="142">
        <f>IFERROR(_xlfn.XLOOKUP($A60,Input_Raw!$A:$A,Input_Raw!$DB:$DB),"")</f>
        <v>1.6155019748192667E-2</v>
      </c>
      <c r="AO60" s="140">
        <f>IFERROR((_xlfn.XLOOKUP($A60,'WTG Reactive Power'!$A:$A,'WTG Reactive Power'!$AR:$AR))/X60/1000,"")</f>
        <v>6.8583976159582505E-5</v>
      </c>
      <c r="AP60" s="140">
        <f>IFERROR(_xlfn.XLOOKUP($D60,'Modelling New'!$D:$D,'Modelling New'!$AK:$AK),"")</f>
        <v>0.05</v>
      </c>
      <c r="AQ60" s="140">
        <f>IFERROR(_xlfn.XLOOKUP($D60,'Modelling New'!$D:$D,'Modelling New'!$AL:$AL),"")</f>
        <v>0.05</v>
      </c>
      <c r="AR60">
        <f>IFERROR(_xlfn.XLOOKUP($D60,'Modelling New'!$D:$D,'Modelling New'!$N:$N),"")</f>
        <v>78</v>
      </c>
    </row>
    <row r="61" spans="1:44">
      <c r="A61" s="134">
        <f t="shared" si="7"/>
        <v>45804</v>
      </c>
      <c r="B61" s="123">
        <f>YEAR(Table13[[#This Row],[Date]])+IF(MONTH(Table13[[#This Row],[Date]])&gt;=4,1,0)</f>
        <v>2026</v>
      </c>
      <c r="C61" s="121">
        <f>YEAR(Table13[[#This Row],[Date]])</f>
        <v>2025</v>
      </c>
      <c r="D61" s="135">
        <f>Table13[[#This Row],[Date]]-DAY(Table13[[#This Row],[Date]])+1</f>
        <v>45778</v>
      </c>
      <c r="E61" s="121">
        <f t="shared" si="4"/>
        <v>31</v>
      </c>
      <c r="F61" s="124"/>
      <c r="G61" s="125"/>
      <c r="H61" s="125"/>
      <c r="I61" s="125"/>
      <c r="J61" s="125"/>
      <c r="K61" s="136"/>
      <c r="L61" s="125"/>
      <c r="M61" s="125">
        <f>IFERROR(_xlfn.XLOOKUP($A61,Input_Raw!$A:$A,Input_Raw!CG:CG),"")</f>
        <v>4.8151282051282047</v>
      </c>
      <c r="N61" s="125">
        <f>IFERROR(_xlfn.XLOOKUP($A61,Input_Raw!$A:$A,Input_Raw!CH:CH),"")</f>
        <v>0</v>
      </c>
      <c r="O61" s="137">
        <f t="shared" si="6"/>
        <v>0.88224635097139881</v>
      </c>
      <c r="P61" s="137">
        <f>IFERROR(1-SUMIF(WTG_BD!$F:$F,$A61,WTG_BD!$AA:$AA)/($AA61+SUMIF(WTG_BD!$F:$F,$A61,WTG_BD!$AA:$AA)),"")</f>
        <v>0.92919692652061903</v>
      </c>
      <c r="Q61" s="138">
        <f>IFERROR(1-SUMIF(IGA_BD!$F:$F,$A61,IGA_BD!$V:$V)/($AA61+SUMIF(IGA_BD!$F:$F,$A61,IGA_BD!$V:$V)),"")</f>
        <v>0.94947187812488054</v>
      </c>
      <c r="R61" s="143">
        <f>IFERROR(1-SUMIF(Grid_BD!$F:$F,$A61,Grid_BD!$X:$X)/($AA61+SUMIF(Grid_BD!$F:$F,$A61,Grid_BD!$X:$X)),"")</f>
        <v>1</v>
      </c>
      <c r="S61" s="121"/>
      <c r="T61" s="138"/>
      <c r="U61" s="139"/>
      <c r="V61" s="121"/>
      <c r="W61" s="140">
        <f>IFERROR(Table13[[#This Row],[Mtr_Net_Exp (KWh)]]/(24*AR61*1000),"")</f>
        <v>0.23205128205128206</v>
      </c>
      <c r="X61" s="121">
        <f>IFERROR(_xlfn.XLOOKUP($A61,Input_Raw!$A:$A,Input_Raw!$CF:$CF),"")</f>
        <v>436047</v>
      </c>
      <c r="Y61" s="121">
        <f>IFERROR(_xlfn.XLOOKUP($A61,Input_Raw!$A:$A,Input_Raw!$CZ:$CZ),"")</f>
        <v>434400</v>
      </c>
      <c r="Z61" s="121">
        <f>IFERROR(_xlfn.XLOOKUP($A61,Input_Raw!$A:$A,Input_Raw!$DA:$DA),"")</f>
        <v>0</v>
      </c>
      <c r="AA61" s="123">
        <f t="shared" si="5"/>
        <v>434400</v>
      </c>
      <c r="AB61" s="121">
        <f>IFERROR(_xlfn.XLOOKUP($A61,Input_Raw!$A:$A,Input_Raw!$DG:$DG),"")</f>
        <v>78</v>
      </c>
      <c r="AC61" s="141">
        <f>IFERROR(_xlfn.XLOOKUP($D61,'Modelling New'!$D:$D,'Modelling New'!$J:$J),"")</f>
        <v>6.5666666666666664</v>
      </c>
      <c r="AD61" s="123">
        <f>IFERROR(_xlfn.XLOOKUP($D61,'Modelling New'!$D:$D,'Modelling New'!$T:$T)*1000,"")</f>
        <v>558388.39265938452</v>
      </c>
      <c r="AE61" s="140"/>
      <c r="AF61" s="140">
        <f>IFERROR(_xlfn.XLOOKUP($D61,'Modelling New'!$D:$D,'Modelling New'!$W:$W),"")</f>
        <v>0.29828439778813276</v>
      </c>
      <c r="AG61" s="140">
        <f>IFERROR(_xlfn.XLOOKUP($D61,'Modelling New'!$D:$D,'Modelling New'!$AE:$AE),"")</f>
        <v>0.96029999999999993</v>
      </c>
      <c r="AH61" s="140">
        <f>IFERROR(_xlfn.XLOOKUP($D61,'Modelling New'!$D:$D,'Modelling New'!$AF:$AF),"")</f>
        <v>0.995</v>
      </c>
      <c r="AI61" s="121">
        <f>IFERROR(_xlfn.XLOOKUP($A61,Input_Raw!$A:$A,Input_Raw!$DE:$DE),"")</f>
        <v>436.04</v>
      </c>
      <c r="AJ61" s="121"/>
      <c r="AK61" s="121"/>
      <c r="AL61" s="121"/>
      <c r="AM61" s="121"/>
      <c r="AN61" s="142">
        <f>IFERROR(_xlfn.XLOOKUP($A61,Input_Raw!$A:$A,Input_Raw!$DB:$DB),"")</f>
        <v>3.777115769630357E-3</v>
      </c>
      <c r="AO61" s="140">
        <f>IFERROR((_xlfn.XLOOKUP($A61,'WTG Reactive Power'!$A:$A,'WTG Reactive Power'!$AR:$AR))/X61/1000,"")</f>
        <v>0</v>
      </c>
      <c r="AP61" s="140">
        <f>IFERROR(_xlfn.XLOOKUP($D61,'Modelling New'!$D:$D,'Modelling New'!$AK:$AK),"")</f>
        <v>0.05</v>
      </c>
      <c r="AQ61" s="140">
        <f>IFERROR(_xlfn.XLOOKUP($D61,'Modelling New'!$D:$D,'Modelling New'!$AL:$AL),"")</f>
        <v>0.05</v>
      </c>
      <c r="AR61">
        <f>IFERROR(_xlfn.XLOOKUP($D61,'Modelling New'!$D:$D,'Modelling New'!$N:$N),"")</f>
        <v>78</v>
      </c>
    </row>
    <row r="62" spans="1:44">
      <c r="A62" s="134">
        <f t="shared" si="7"/>
        <v>45805</v>
      </c>
      <c r="B62" s="123">
        <f>YEAR(Table13[[#This Row],[Date]])+IF(MONTH(Table13[[#This Row],[Date]])&gt;=4,1,0)</f>
        <v>2026</v>
      </c>
      <c r="C62" s="121">
        <f>YEAR(Table13[[#This Row],[Date]])</f>
        <v>2025</v>
      </c>
      <c r="D62" s="135">
        <f>Table13[[#This Row],[Date]]-DAY(Table13[[#This Row],[Date]])+1</f>
        <v>45778</v>
      </c>
      <c r="E62" s="121">
        <f t="shared" si="4"/>
        <v>31</v>
      </c>
      <c r="F62" s="124"/>
      <c r="G62" s="125"/>
      <c r="H62" s="125"/>
      <c r="I62" s="125"/>
      <c r="J62" s="125"/>
      <c r="K62" s="136"/>
      <c r="L62" s="125"/>
      <c r="M62" s="125">
        <f>IFERROR(_xlfn.XLOOKUP($A62,Input_Raw!$A:$A,Input_Raw!CG:CG),"")</f>
        <v>4.5097435897435885</v>
      </c>
      <c r="N62" s="125">
        <f>IFERROR(_xlfn.XLOOKUP($A62,Input_Raw!$A:$A,Input_Raw!CH:CH),"")</f>
        <v>0</v>
      </c>
      <c r="O62" s="137">
        <f t="shared" si="6"/>
        <v>0.91792531186271265</v>
      </c>
      <c r="P62" s="137">
        <f>IFERROR(1-SUMIF(WTG_BD!$F:$F,$A62,WTG_BD!$AA:$AA)/($AA62+SUMIF(WTG_BD!$F:$F,$A62,WTG_BD!$AA:$AA)),"")</f>
        <v>0.91837281147440364</v>
      </c>
      <c r="Q62" s="138">
        <f>IFERROR(1-SUMIF(IGA_BD!$F:$F,$A62,IGA_BD!$V:$V)/($AA62+SUMIF(IGA_BD!$F:$F,$A62,IGA_BD!$V:$V)),"")</f>
        <v>0.99951272554446324</v>
      </c>
      <c r="R62" s="143">
        <f>IFERROR(1-SUMIF(Grid_BD!$F:$F,$A62,Grid_BD!$X:$X)/($AA62+SUMIF(Grid_BD!$F:$F,$A62,Grid_BD!$X:$X)),"")</f>
        <v>1</v>
      </c>
      <c r="S62" s="121"/>
      <c r="T62" s="138"/>
      <c r="U62" s="139"/>
      <c r="V62" s="121"/>
      <c r="W62" s="140">
        <f>IFERROR(Table13[[#This Row],[Mtr_Net_Exp (KWh)]]/(24*AR62*1000),"")</f>
        <v>0.22243589743589742</v>
      </c>
      <c r="X62" s="121">
        <f>IFERROR(_xlfn.XLOOKUP($A62,Input_Raw!$A:$A,Input_Raw!$CF:$CF),"")</f>
        <v>424522</v>
      </c>
      <c r="Y62" s="121">
        <f>IFERROR(_xlfn.XLOOKUP($A62,Input_Raw!$A:$A,Input_Raw!$CZ:$CZ),"")</f>
        <v>420000</v>
      </c>
      <c r="Z62" s="121">
        <f>IFERROR(_xlfn.XLOOKUP($A62,Input_Raw!$A:$A,Input_Raw!$DA:$DA),"")</f>
        <v>3600</v>
      </c>
      <c r="AA62" s="123">
        <f t="shared" si="5"/>
        <v>416400</v>
      </c>
      <c r="AB62" s="121">
        <f>IFERROR(_xlfn.XLOOKUP($A62,Input_Raw!$A:$A,Input_Raw!$DG:$DG),"")</f>
        <v>78</v>
      </c>
      <c r="AC62" s="141">
        <f>IFERROR(_xlfn.XLOOKUP($D62,'Modelling New'!$D:$D,'Modelling New'!$J:$J),"")</f>
        <v>6.5666666666666664</v>
      </c>
      <c r="AD62" s="123">
        <f>IFERROR(_xlfn.XLOOKUP($D62,'Modelling New'!$D:$D,'Modelling New'!$T:$T)*1000,"")</f>
        <v>558388.39265938452</v>
      </c>
      <c r="AE62" s="140"/>
      <c r="AF62" s="140">
        <f>IFERROR(_xlfn.XLOOKUP($D62,'Modelling New'!$D:$D,'Modelling New'!$W:$W),"")</f>
        <v>0.29828439778813276</v>
      </c>
      <c r="AG62" s="140">
        <f>IFERROR(_xlfn.XLOOKUP($D62,'Modelling New'!$D:$D,'Modelling New'!$AE:$AE),"")</f>
        <v>0.96029999999999993</v>
      </c>
      <c r="AH62" s="140">
        <f>IFERROR(_xlfn.XLOOKUP($D62,'Modelling New'!$D:$D,'Modelling New'!$AF:$AF),"")</f>
        <v>0.995</v>
      </c>
      <c r="AI62" s="121">
        <f>IFERROR(_xlfn.XLOOKUP($A62,Input_Raw!$A:$A,Input_Raw!$DE:$DE),"")</f>
        <v>424.52</v>
      </c>
      <c r="AJ62" s="121"/>
      <c r="AK62" s="121"/>
      <c r="AL62" s="121"/>
      <c r="AM62" s="121"/>
      <c r="AN62" s="142">
        <f>IFERROR(_xlfn.XLOOKUP($A62,Input_Raw!$A:$A,Input_Raw!$DB:$DB),"")</f>
        <v>1.0651980344952627E-2</v>
      </c>
      <c r="AO62" s="140">
        <f>IFERROR((_xlfn.XLOOKUP($A62,'WTG Reactive Power'!$A:$A,'WTG Reactive Power'!$AR:$AR))/X62/1000,"")</f>
        <v>1.133039041557328E-5</v>
      </c>
      <c r="AP62" s="140">
        <f>IFERROR(_xlfn.XLOOKUP($D62,'Modelling New'!$D:$D,'Modelling New'!$AK:$AK),"")</f>
        <v>0.05</v>
      </c>
      <c r="AQ62" s="140">
        <f>IFERROR(_xlfn.XLOOKUP($D62,'Modelling New'!$D:$D,'Modelling New'!$AL:$AL),"")</f>
        <v>0.05</v>
      </c>
      <c r="AR62">
        <f>IFERROR(_xlfn.XLOOKUP($D62,'Modelling New'!$D:$D,'Modelling New'!$N:$N),"")</f>
        <v>78</v>
      </c>
    </row>
    <row r="63" spans="1:44">
      <c r="A63" s="134">
        <f t="shared" si="7"/>
        <v>45806</v>
      </c>
      <c r="B63" s="123">
        <f>YEAR(Table13[[#This Row],[Date]])+IF(MONTH(Table13[[#This Row],[Date]])&gt;=4,1,0)</f>
        <v>2026</v>
      </c>
      <c r="C63" s="121">
        <f>YEAR(Table13[[#This Row],[Date]])</f>
        <v>2025</v>
      </c>
      <c r="D63" s="135">
        <f>Table13[[#This Row],[Date]]-DAY(Table13[[#This Row],[Date]])+1</f>
        <v>45778</v>
      </c>
      <c r="E63" s="121">
        <f t="shared" si="4"/>
        <v>31</v>
      </c>
      <c r="F63" s="124"/>
      <c r="G63" s="125"/>
      <c r="H63" s="125"/>
      <c r="I63" s="125"/>
      <c r="J63" s="125"/>
      <c r="K63" s="136"/>
      <c r="L63" s="125"/>
      <c r="M63" s="125">
        <f>IFERROR(_xlfn.XLOOKUP($A63,Input_Raw!$A:$A,Input_Raw!CG:CG),"")</f>
        <v>5.7389743589743594</v>
      </c>
      <c r="N63" s="125">
        <f>IFERROR(_xlfn.XLOOKUP($A63,Input_Raw!$A:$A,Input_Raw!CH:CH),"")</f>
        <v>0</v>
      </c>
      <c r="O63" s="137">
        <f t="shared" si="6"/>
        <v>0.93021167331701227</v>
      </c>
      <c r="P63" s="137">
        <f>IFERROR(1-SUMIF(WTG_BD!$F:$F,$A63,WTG_BD!$AA:$AA)/($AA63+SUMIF(WTG_BD!$F:$F,$A63,WTG_BD!$AA:$AA)),"")</f>
        <v>0.93183026962592552</v>
      </c>
      <c r="Q63" s="138">
        <f>IFERROR(1-SUMIF(IGA_BD!$F:$F,$A63,IGA_BD!$V:$V)/($AA63+SUMIF(IGA_BD!$F:$F,$A63,IGA_BD!$V:$V)),"")</f>
        <v>0.99826299234777705</v>
      </c>
      <c r="R63" s="143">
        <f>IFERROR(1-SUMIF(Grid_BD!$F:$F,$A63,Grid_BD!$X:$X)/($AA63+SUMIF(Grid_BD!$F:$F,$A63,Grid_BD!$X:$X)),"")</f>
        <v>1</v>
      </c>
      <c r="S63" s="121"/>
      <c r="T63" s="138"/>
      <c r="U63" s="139"/>
      <c r="V63" s="121"/>
      <c r="W63" s="140">
        <f>IFERROR(Table13[[#This Row],[Mtr_Net_Exp (KWh)]]/(24*AR63*1000),"")</f>
        <v>0.28397435897435896</v>
      </c>
      <c r="X63" s="121">
        <f>IFERROR(_xlfn.XLOOKUP($A63,Input_Raw!$A:$A,Input_Raw!$CF:$CF),"")</f>
        <v>539046</v>
      </c>
      <c r="Y63" s="121">
        <f>IFERROR(_xlfn.XLOOKUP($A63,Input_Raw!$A:$A,Input_Raw!$CZ:$CZ),"")</f>
        <v>531600</v>
      </c>
      <c r="Z63" s="121">
        <f>IFERROR(_xlfn.XLOOKUP($A63,Input_Raw!$A:$A,Input_Raw!$DA:$DA),"")</f>
        <v>0</v>
      </c>
      <c r="AA63" s="123">
        <f t="shared" si="5"/>
        <v>531600</v>
      </c>
      <c r="AB63" s="121">
        <f>IFERROR(_xlfn.XLOOKUP($A63,Input_Raw!$A:$A,Input_Raw!$DG:$DG),"")</f>
        <v>78</v>
      </c>
      <c r="AC63" s="141">
        <f>IFERROR(_xlfn.XLOOKUP($D63,'Modelling New'!$D:$D,'Modelling New'!$J:$J),"")</f>
        <v>6.5666666666666664</v>
      </c>
      <c r="AD63" s="123">
        <f>IFERROR(_xlfn.XLOOKUP($D63,'Modelling New'!$D:$D,'Modelling New'!$T:$T)*1000,"")</f>
        <v>558388.39265938452</v>
      </c>
      <c r="AE63" s="140"/>
      <c r="AF63" s="140">
        <f>IFERROR(_xlfn.XLOOKUP($D63,'Modelling New'!$D:$D,'Modelling New'!$W:$W),"")</f>
        <v>0.29828439778813276</v>
      </c>
      <c r="AG63" s="140">
        <f>IFERROR(_xlfn.XLOOKUP($D63,'Modelling New'!$D:$D,'Modelling New'!$AE:$AE),"")</f>
        <v>0.96029999999999993</v>
      </c>
      <c r="AH63" s="140">
        <f>IFERROR(_xlfn.XLOOKUP($D63,'Modelling New'!$D:$D,'Modelling New'!$AF:$AF),"")</f>
        <v>0.995</v>
      </c>
      <c r="AI63" s="121">
        <f>IFERROR(_xlfn.XLOOKUP($A63,Input_Raw!$A:$A,Input_Raw!$DE:$DE),"")</f>
        <v>539.04</v>
      </c>
      <c r="AJ63" s="121"/>
      <c r="AK63" s="121"/>
      <c r="AL63" s="121"/>
      <c r="AM63" s="121"/>
      <c r="AN63" s="142">
        <f>IFERROR(_xlfn.XLOOKUP($A63,Input_Raw!$A:$A,Input_Raw!$DB:$DB),"")</f>
        <v>1.3813292372079511E-2</v>
      </c>
      <c r="AO63" s="140">
        <f>IFERROR((_xlfn.XLOOKUP($A63,'WTG Reactive Power'!$A:$A,'WTG Reactive Power'!$AR:$AR))/X63/1000,"")</f>
        <v>2.2651128104095013E-6</v>
      </c>
      <c r="AP63" s="140">
        <f>IFERROR(_xlfn.XLOOKUP($D63,'Modelling New'!$D:$D,'Modelling New'!$AK:$AK),"")</f>
        <v>0.05</v>
      </c>
      <c r="AQ63" s="140">
        <f>IFERROR(_xlfn.XLOOKUP($D63,'Modelling New'!$D:$D,'Modelling New'!$AL:$AL),"")</f>
        <v>0.05</v>
      </c>
      <c r="AR63">
        <f>IFERROR(_xlfn.XLOOKUP($D63,'Modelling New'!$D:$D,'Modelling New'!$N:$N),"")</f>
        <v>78</v>
      </c>
    </row>
    <row r="64" spans="1:44">
      <c r="A64" s="134">
        <f t="shared" si="7"/>
        <v>45807</v>
      </c>
      <c r="B64" s="123">
        <f>YEAR(Table13[[#This Row],[Date]])+IF(MONTH(Table13[[#This Row],[Date]])&gt;=4,1,0)</f>
        <v>2026</v>
      </c>
      <c r="C64" s="121">
        <f>YEAR(Table13[[#This Row],[Date]])</f>
        <v>2025</v>
      </c>
      <c r="D64" s="135">
        <f>Table13[[#This Row],[Date]]-DAY(Table13[[#This Row],[Date]])+1</f>
        <v>45778</v>
      </c>
      <c r="E64" s="121">
        <f t="shared" si="4"/>
        <v>31</v>
      </c>
      <c r="F64" s="124"/>
      <c r="G64" s="125"/>
      <c r="H64" s="125"/>
      <c r="I64" s="125"/>
      <c r="J64" s="125"/>
      <c r="K64" s="136"/>
      <c r="L64" s="125"/>
      <c r="M64" s="125">
        <f>IFERROR(_xlfn.XLOOKUP($A64,Input_Raw!$A:$A,Input_Raw!CG:CG),"")</f>
        <v>5.25979450046166</v>
      </c>
      <c r="N64" s="125">
        <f>IFERROR(_xlfn.XLOOKUP($A64,Input_Raw!$A:$A,Input_Raw!CH:CH),"")</f>
        <v>0</v>
      </c>
      <c r="O64" s="137">
        <f t="shared" si="6"/>
        <v>0.94209470617302393</v>
      </c>
      <c r="P64" s="137">
        <f>IFERROR(1-SUMIF(WTG_BD!$F:$F,$A64,WTG_BD!$AA:$AA)/($AA64+SUMIF(WTG_BD!$F:$F,$A64,WTG_BD!$AA:$AA)),"")</f>
        <v>0.94209470617302393</v>
      </c>
      <c r="Q64" s="138">
        <f>IFERROR(1-SUMIF(IGA_BD!$F:$F,$A64,IGA_BD!$V:$V)/($AA64+SUMIF(IGA_BD!$F:$F,$A64,IGA_BD!$V:$V)),"")</f>
        <v>1</v>
      </c>
      <c r="R64" s="143">
        <f>IFERROR(1-SUMIF(Grid_BD!$F:$F,$A64,Grid_BD!$X:$X)/($AA64+SUMIF(Grid_BD!$F:$F,$A64,Grid_BD!$X:$X)),"")</f>
        <v>1</v>
      </c>
      <c r="S64" s="121"/>
      <c r="T64" s="138"/>
      <c r="U64" s="139"/>
      <c r="V64" s="121"/>
      <c r="W64" s="140">
        <f>IFERROR(Table13[[#This Row],[Mtr_Net_Exp (KWh)]]/(24*AR64*1000),"")</f>
        <v>0.2935897435897436</v>
      </c>
      <c r="X64" s="121">
        <f>IFERROR(_xlfn.XLOOKUP($A64,Input_Raw!$A:$A,Input_Raw!$CF:$CF),"")</f>
        <v>552531</v>
      </c>
      <c r="Y64" s="121">
        <f>IFERROR(_xlfn.XLOOKUP($A64,Input_Raw!$A:$A,Input_Raw!$CZ:$CZ),"")</f>
        <v>549600</v>
      </c>
      <c r="Z64" s="121">
        <f>IFERROR(_xlfn.XLOOKUP($A64,Input_Raw!$A:$A,Input_Raw!$DA:$DA),"")</f>
        <v>0</v>
      </c>
      <c r="AA64" s="123">
        <f t="shared" si="5"/>
        <v>549600</v>
      </c>
      <c r="AB64" s="121">
        <f>IFERROR(_xlfn.XLOOKUP($A64,Input_Raw!$A:$A,Input_Raw!$DG:$DG),"")</f>
        <v>78</v>
      </c>
      <c r="AC64" s="141">
        <f>IFERROR(_xlfn.XLOOKUP($D64,'Modelling New'!$D:$D,'Modelling New'!$J:$J),"")</f>
        <v>6.5666666666666664</v>
      </c>
      <c r="AD64" s="123">
        <f>IFERROR(_xlfn.XLOOKUP($D64,'Modelling New'!$D:$D,'Modelling New'!$T:$T)*1000,"")</f>
        <v>558388.39265938452</v>
      </c>
      <c r="AE64" s="140"/>
      <c r="AF64" s="140">
        <f>IFERROR(_xlfn.XLOOKUP($D64,'Modelling New'!$D:$D,'Modelling New'!$W:$W),"")</f>
        <v>0.29828439778813276</v>
      </c>
      <c r="AG64" s="140">
        <f>IFERROR(_xlfn.XLOOKUP($D64,'Modelling New'!$D:$D,'Modelling New'!$AE:$AE),"")</f>
        <v>0.96029999999999993</v>
      </c>
      <c r="AH64" s="140">
        <f>IFERROR(_xlfn.XLOOKUP($D64,'Modelling New'!$D:$D,'Modelling New'!$AF:$AF),"")</f>
        <v>0.995</v>
      </c>
      <c r="AI64" s="121">
        <f>IFERROR(_xlfn.XLOOKUP($A64,Input_Raw!$A:$A,Input_Raw!$DE:$DE),"")</f>
        <v>552.53</v>
      </c>
      <c r="AJ64" s="121"/>
      <c r="AK64" s="121"/>
      <c r="AL64" s="121"/>
      <c r="AM64" s="121"/>
      <c r="AN64" s="142">
        <f>IFERROR(_xlfn.XLOOKUP($A64,Input_Raw!$A:$A,Input_Raw!$DB:$DB),"")</f>
        <v>5.3046797374265431E-3</v>
      </c>
      <c r="AO64" s="140">
        <f>IFERROR((_xlfn.XLOOKUP($A64,'WTG Reactive Power'!$A:$A,'WTG Reactive Power'!$AR:$AR))/X64/1000,"")</f>
        <v>2.2098307606270057E-6</v>
      </c>
      <c r="AP64" s="140">
        <f>IFERROR(_xlfn.XLOOKUP($D64,'Modelling New'!$D:$D,'Modelling New'!$AK:$AK),"")</f>
        <v>0.05</v>
      </c>
      <c r="AQ64" s="140">
        <f>IFERROR(_xlfn.XLOOKUP($D64,'Modelling New'!$D:$D,'Modelling New'!$AL:$AL),"")</f>
        <v>0.05</v>
      </c>
      <c r="AR64">
        <f>IFERROR(_xlfn.XLOOKUP($D64,'Modelling New'!$D:$D,'Modelling New'!$N:$N),"")</f>
        <v>78</v>
      </c>
    </row>
    <row r="65" spans="1:44">
      <c r="A65" s="134">
        <f t="shared" si="7"/>
        <v>45808</v>
      </c>
      <c r="B65" s="123">
        <f>YEAR(Table13[[#This Row],[Date]])+IF(MONTH(Table13[[#This Row],[Date]])&gt;=4,1,0)</f>
        <v>2026</v>
      </c>
      <c r="C65" s="121">
        <f>YEAR(Table13[[#This Row],[Date]])</f>
        <v>2025</v>
      </c>
      <c r="D65" s="135">
        <f>Table13[[#This Row],[Date]]-DAY(Table13[[#This Row],[Date]])+1</f>
        <v>45778</v>
      </c>
      <c r="E65" s="121">
        <f t="shared" si="4"/>
        <v>31</v>
      </c>
      <c r="F65" s="124"/>
      <c r="G65" s="125"/>
      <c r="H65" s="125"/>
      <c r="I65" s="125"/>
      <c r="J65" s="125"/>
      <c r="K65" s="136"/>
      <c r="L65" s="125"/>
      <c r="M65" s="125">
        <f>IFERROR(_xlfn.XLOOKUP($A65,Input_Raw!$A:$A,Input_Raw!CG:CG),"")</f>
        <v>6.7597435897435894</v>
      </c>
      <c r="N65" s="125">
        <f>IFERROR(_xlfn.XLOOKUP($A65,Input_Raw!$A:$A,Input_Raw!CH:CH),"")</f>
        <v>0</v>
      </c>
      <c r="O65" s="137">
        <f t="shared" si="6"/>
        <v>0.89787377920608258</v>
      </c>
      <c r="P65" s="137">
        <f>IFERROR(1-SUMIF(WTG_BD!$F:$F,$A65,WTG_BD!$AA:$AA)/($AA65+SUMIF(WTG_BD!$F:$F,$A65,WTG_BD!$AA:$AA)),"")</f>
        <v>0.93130151430557695</v>
      </c>
      <c r="Q65" s="138">
        <f>IFERROR(1-SUMIF(IGA_BD!$F:$F,$A65,IGA_BD!$V:$V)/($AA65+SUMIF(IGA_BD!$F:$F,$A65,IGA_BD!$V:$V)),"")</f>
        <v>0.96410643106876115</v>
      </c>
      <c r="R65" s="143">
        <f>IFERROR(1-SUMIF(Grid_BD!$F:$F,$A65,Grid_BD!$X:$X)/($AA65+SUMIF(Grid_BD!$F:$F,$A65,Grid_BD!$X:$X)),"")</f>
        <v>1</v>
      </c>
      <c r="S65" s="121"/>
      <c r="T65" s="138"/>
      <c r="U65" s="139"/>
      <c r="V65" s="121"/>
      <c r="W65" s="140">
        <f>IFERROR(Table13[[#This Row],[Mtr_Net_Exp (KWh)]]/(24*AR65*1000),"")</f>
        <v>0.44166666666666665</v>
      </c>
      <c r="X65" s="121">
        <f>IFERROR(_xlfn.XLOOKUP($A65,Input_Raw!$A:$A,Input_Raw!$CF:$CF),"")</f>
        <v>829710</v>
      </c>
      <c r="Y65" s="121">
        <f>IFERROR(_xlfn.XLOOKUP($A65,Input_Raw!$A:$A,Input_Raw!$CZ:$CZ),"")</f>
        <v>826800</v>
      </c>
      <c r="Z65" s="121">
        <f>IFERROR(_xlfn.XLOOKUP($A65,Input_Raw!$A:$A,Input_Raw!$DA:$DA),"")</f>
        <v>0</v>
      </c>
      <c r="AA65" s="123">
        <f t="shared" si="5"/>
        <v>826800</v>
      </c>
      <c r="AB65" s="121">
        <f>IFERROR(_xlfn.XLOOKUP($A65,Input_Raw!$A:$A,Input_Raw!$DG:$DG),"")</f>
        <v>78</v>
      </c>
      <c r="AC65" s="141">
        <f>IFERROR(_xlfn.XLOOKUP($D65,'Modelling New'!$D:$D,'Modelling New'!$J:$J),"")</f>
        <v>6.5666666666666664</v>
      </c>
      <c r="AD65" s="123">
        <f>IFERROR(_xlfn.XLOOKUP($D65,'Modelling New'!$D:$D,'Modelling New'!$T:$T)*1000,"")</f>
        <v>558388.39265938452</v>
      </c>
      <c r="AE65" s="140"/>
      <c r="AF65" s="140">
        <f>IFERROR(_xlfn.XLOOKUP($D65,'Modelling New'!$D:$D,'Modelling New'!$W:$W),"")</f>
        <v>0.29828439778813276</v>
      </c>
      <c r="AG65" s="140">
        <f>IFERROR(_xlfn.XLOOKUP($D65,'Modelling New'!$D:$D,'Modelling New'!$AE:$AE),"")</f>
        <v>0.96029999999999993</v>
      </c>
      <c r="AH65" s="140">
        <f>IFERROR(_xlfn.XLOOKUP($D65,'Modelling New'!$D:$D,'Modelling New'!$AF:$AF),"")</f>
        <v>0.995</v>
      </c>
      <c r="AI65" s="121">
        <f>IFERROR(_xlfn.XLOOKUP($A65,Input_Raw!$A:$A,Input_Raw!$DE:$DE),"")</f>
        <v>829.71</v>
      </c>
      <c r="AJ65" s="121"/>
      <c r="AK65" s="121"/>
      <c r="AL65" s="121"/>
      <c r="AM65" s="121"/>
      <c r="AN65" s="142">
        <f>IFERROR(_xlfn.XLOOKUP($A65,Input_Raw!$A:$A,Input_Raw!$DB:$DB),"")</f>
        <v>3.5072495209169663E-3</v>
      </c>
      <c r="AO65" s="140">
        <f>IFERROR((_xlfn.XLOOKUP($A65,'WTG Reactive Power'!$A:$A,'WTG Reactive Power'!$AR:$AR))/X65/1000,"")</f>
        <v>0</v>
      </c>
      <c r="AP65" s="140">
        <f>IFERROR(_xlfn.XLOOKUP($D65,'Modelling New'!$D:$D,'Modelling New'!$AK:$AK),"")</f>
        <v>0.05</v>
      </c>
      <c r="AQ65" s="140">
        <f>IFERROR(_xlfn.XLOOKUP($D65,'Modelling New'!$D:$D,'Modelling New'!$AL:$AL),"")</f>
        <v>0.05</v>
      </c>
      <c r="AR65">
        <f>IFERROR(_xlfn.XLOOKUP($D65,'Modelling New'!$D:$D,'Modelling New'!$N:$N),"")</f>
        <v>78</v>
      </c>
    </row>
    <row r="66" spans="1:44">
      <c r="A66" s="134">
        <f t="shared" si="7"/>
        <v>45809</v>
      </c>
      <c r="B66" s="123">
        <f>YEAR(Table13[[#This Row],[Date]])+IF(MONTH(Table13[[#This Row],[Date]])&gt;=4,1,0)</f>
        <v>2026</v>
      </c>
      <c r="C66" s="121">
        <f>YEAR(Table13[[#This Row],[Date]])</f>
        <v>2025</v>
      </c>
      <c r="D66" s="135">
        <f>Table13[[#This Row],[Date]]-DAY(Table13[[#This Row],[Date]])+1</f>
        <v>45809</v>
      </c>
      <c r="E66" s="121">
        <f t="shared" si="4"/>
        <v>30</v>
      </c>
      <c r="F66" s="124"/>
      <c r="G66" s="125"/>
      <c r="H66" s="125"/>
      <c r="I66" s="125"/>
      <c r="J66" s="125"/>
      <c r="K66" s="136"/>
      <c r="L66" s="125"/>
      <c r="M66" s="125">
        <f>IFERROR(_xlfn.XLOOKUP($A66,Input_Raw!$A:$A,Input_Raw!CG:CG),"")</f>
        <v>6.6617948717948723</v>
      </c>
      <c r="N66" s="125">
        <f>IFERROR(_xlfn.XLOOKUP($A66,Input_Raw!$A:$A,Input_Raw!CH:CH),"")</f>
        <v>0</v>
      </c>
      <c r="O66" s="137">
        <f t="shared" si="6"/>
        <v>0.94310092863724981</v>
      </c>
      <c r="P66" s="137">
        <f>IFERROR(1-SUMIF(WTG_BD!$F:$F,$A66,WTG_BD!$AA:$AA)/($AA66+SUMIF(WTG_BD!$F:$F,$A66,WTG_BD!$AA:$AA)),"")</f>
        <v>0.94377695424752261</v>
      </c>
      <c r="Q66" s="138">
        <f>IFERROR(1-SUMIF(IGA_BD!$F:$F,$A66,IGA_BD!$V:$V)/($AA66+SUMIF(IGA_BD!$F:$F,$A66,IGA_BD!$V:$V)),"")</f>
        <v>0.9992837019305989</v>
      </c>
      <c r="R66" s="143">
        <f>IFERROR(1-SUMIF(Grid_BD!$F:$F,$A66,Grid_BD!$X:$X)/($AA66+SUMIF(Grid_BD!$F:$F,$A66,Grid_BD!$X:$X)),"")</f>
        <v>1</v>
      </c>
      <c r="S66" s="121"/>
      <c r="T66" s="138"/>
      <c r="U66" s="139"/>
      <c r="V66" s="121"/>
      <c r="W66" s="140">
        <f>IFERROR(Table13[[#This Row],[Mtr_Net_Exp (KWh)]]/(24*AR66*1000),"")</f>
        <v>0.41794871794871796</v>
      </c>
      <c r="X66" s="121">
        <f>IFERROR(_xlfn.XLOOKUP($A66,Input_Raw!$A:$A,Input_Raw!$CF:$CF),"")</f>
        <v>785959</v>
      </c>
      <c r="Y66" s="121">
        <f>IFERROR(_xlfn.XLOOKUP($A66,Input_Raw!$A:$A,Input_Raw!$CZ:$CZ),"")</f>
        <v>782400</v>
      </c>
      <c r="Z66" s="121">
        <f>IFERROR(_xlfn.XLOOKUP($A66,Input_Raw!$A:$A,Input_Raw!$DA:$DA),"")</f>
        <v>0</v>
      </c>
      <c r="AA66" s="123">
        <f t="shared" si="5"/>
        <v>782400</v>
      </c>
      <c r="AB66" s="121">
        <f>IFERROR(_xlfn.XLOOKUP($A66,Input_Raw!$A:$A,Input_Raw!$DG:$DG),"")</f>
        <v>78</v>
      </c>
      <c r="AC66" s="141">
        <f>IFERROR(_xlfn.XLOOKUP($D66,'Modelling New'!$D:$D,'Modelling New'!$J:$J),"")</f>
        <v>6.5666666666666664</v>
      </c>
      <c r="AD66" s="123">
        <f>IFERROR(_xlfn.XLOOKUP($D66,'Modelling New'!$D:$D,'Modelling New'!$T:$T)*1000,"")</f>
        <v>501275.34211348038</v>
      </c>
      <c r="AE66" s="140"/>
      <c r="AF66" s="140">
        <f>IFERROR(_xlfn.XLOOKUP($D66,'Modelling New'!$D:$D,'Modelling New'!$W:$W),"")</f>
        <v>0.26777528959053443</v>
      </c>
      <c r="AG66" s="140">
        <f>IFERROR(_xlfn.XLOOKUP($D66,'Modelling New'!$D:$D,'Modelling New'!$AE:$AE),"")</f>
        <v>0.96029999999999993</v>
      </c>
      <c r="AH66" s="140">
        <f>IFERROR(_xlfn.XLOOKUP($D66,'Modelling New'!$D:$D,'Modelling New'!$AF:$AF),"")</f>
        <v>0.995</v>
      </c>
      <c r="AI66" s="121">
        <f>IFERROR(_xlfn.XLOOKUP($A66,Input_Raw!$A:$A,Input_Raw!$DE:$DE),"")</f>
        <v>785.95</v>
      </c>
      <c r="AJ66" s="121"/>
      <c r="AK66" s="121"/>
      <c r="AL66" s="121"/>
      <c r="AM66" s="121"/>
      <c r="AN66" s="142">
        <f>IFERROR(_xlfn.XLOOKUP($A66,Input_Raw!$A:$A,Input_Raw!$DB:$DB),"")</f>
        <v>4.5282260270573804E-3</v>
      </c>
      <c r="AO66" s="140">
        <f>IFERROR((_xlfn.XLOOKUP($A66,'WTG Reactive Power'!$A:$A,'WTG Reactive Power'!$AR:$AR))/X66/1000,"")</f>
        <v>0</v>
      </c>
      <c r="AP66" s="140">
        <f>IFERROR(_xlfn.XLOOKUP($D66,'Modelling New'!$D:$D,'Modelling New'!$AK:$AK),"")</f>
        <v>0.05</v>
      </c>
      <c r="AQ66" s="140">
        <f>IFERROR(_xlfn.XLOOKUP($D66,'Modelling New'!$D:$D,'Modelling New'!$AL:$AL),"")</f>
        <v>0.05</v>
      </c>
      <c r="AR66">
        <f>IFERROR(_xlfn.XLOOKUP($D66,'Modelling New'!$D:$D,'Modelling New'!$N:$N),"")</f>
        <v>78</v>
      </c>
    </row>
    <row r="67" spans="1:44">
      <c r="A67" s="134">
        <f t="shared" si="7"/>
        <v>45810</v>
      </c>
      <c r="B67" s="123">
        <f>YEAR(Table13[[#This Row],[Date]])+IF(MONTH(Table13[[#This Row],[Date]])&gt;=4,1,0)</f>
        <v>2026</v>
      </c>
      <c r="C67" s="121">
        <f>YEAR(Table13[[#This Row],[Date]])</f>
        <v>2025</v>
      </c>
      <c r="D67" s="135">
        <f>Table13[[#This Row],[Date]]-DAY(Table13[[#This Row],[Date]])+1</f>
        <v>45809</v>
      </c>
      <c r="E67" s="121">
        <f t="shared" si="4"/>
        <v>30</v>
      </c>
      <c r="F67" s="124"/>
      <c r="G67" s="125"/>
      <c r="H67" s="125"/>
      <c r="I67" s="125"/>
      <c r="J67" s="125"/>
      <c r="K67" s="136"/>
      <c r="L67" s="125"/>
      <c r="M67" s="125">
        <f>IFERROR(_xlfn.XLOOKUP($A67,Input_Raw!$A:$A,Input_Raw!CG:CG),"")</f>
        <v>4.8151282051282047</v>
      </c>
      <c r="N67" s="125">
        <f>IFERROR(_xlfn.XLOOKUP($A67,Input_Raw!$A:$A,Input_Raw!CH:CH),"")</f>
        <v>0</v>
      </c>
      <c r="O67" s="137">
        <f t="shared" si="6"/>
        <v>0.92556107873530746</v>
      </c>
      <c r="P67" s="137">
        <f>IFERROR(1-SUMIF(WTG_BD!$F:$F,$A67,WTG_BD!$AA:$AA)/($AA67+SUMIF(WTG_BD!$F:$F,$A67,WTG_BD!$AA:$AA)),"")</f>
        <v>0.93459213356473947</v>
      </c>
      <c r="Q67" s="138">
        <f>IFERROR(1-SUMIF(IGA_BD!$F:$F,$A67,IGA_BD!$V:$V)/($AA67+SUMIF(IGA_BD!$F:$F,$A67,IGA_BD!$V:$V)),"")</f>
        <v>0.99033690258553153</v>
      </c>
      <c r="R67" s="143">
        <f>IFERROR(1-SUMIF(Grid_BD!$F:$F,$A67,Grid_BD!$X:$X)/($AA67+SUMIF(Grid_BD!$F:$F,$A67,Grid_BD!$X:$X)),"")</f>
        <v>1</v>
      </c>
      <c r="S67" s="121"/>
      <c r="T67" s="138"/>
      <c r="U67" s="139"/>
      <c r="V67" s="121"/>
      <c r="W67" s="140">
        <f>IFERROR(Table13[[#This Row],[Mtr_Net_Exp (KWh)]]/(24*AR67*1000),"")</f>
        <v>0.20256410256410257</v>
      </c>
      <c r="X67" s="121">
        <f>IFERROR(_xlfn.XLOOKUP($A67,Input_Raw!$A:$A,Input_Raw!$CF:$CF),"")</f>
        <v>381731</v>
      </c>
      <c r="Y67" s="121">
        <f>IFERROR(_xlfn.XLOOKUP($A67,Input_Raw!$A:$A,Input_Raw!$CZ:$CZ),"")</f>
        <v>379200</v>
      </c>
      <c r="Z67" s="121">
        <f>IFERROR(_xlfn.XLOOKUP($A67,Input_Raw!$A:$A,Input_Raw!$DA:$DA),"")</f>
        <v>0</v>
      </c>
      <c r="AA67" s="123">
        <f t="shared" si="5"/>
        <v>379200</v>
      </c>
      <c r="AB67" s="121">
        <f>IFERROR(_xlfn.XLOOKUP($A67,Input_Raw!$A:$A,Input_Raw!$DG:$DG),"")</f>
        <v>78</v>
      </c>
      <c r="AC67" s="141">
        <f>IFERROR(_xlfn.XLOOKUP($D67,'Modelling New'!$D:$D,'Modelling New'!$J:$J),"")</f>
        <v>6.5666666666666664</v>
      </c>
      <c r="AD67" s="123">
        <f>IFERROR(_xlfn.XLOOKUP($D67,'Modelling New'!$D:$D,'Modelling New'!$T:$T)*1000,"")</f>
        <v>501275.34211348038</v>
      </c>
      <c r="AE67" s="140"/>
      <c r="AF67" s="140">
        <f>IFERROR(_xlfn.XLOOKUP($D67,'Modelling New'!$D:$D,'Modelling New'!$W:$W),"")</f>
        <v>0.26777528959053443</v>
      </c>
      <c r="AG67" s="140">
        <f>IFERROR(_xlfn.XLOOKUP($D67,'Modelling New'!$D:$D,'Modelling New'!$AE:$AE),"")</f>
        <v>0.96029999999999993</v>
      </c>
      <c r="AH67" s="140">
        <f>IFERROR(_xlfn.XLOOKUP($D67,'Modelling New'!$D:$D,'Modelling New'!$AF:$AF),"")</f>
        <v>0.995</v>
      </c>
      <c r="AI67" s="121">
        <f>IFERROR(_xlfn.XLOOKUP($A67,Input_Raw!$A:$A,Input_Raw!$DE:$DE),"")</f>
        <v>381.73</v>
      </c>
      <c r="AJ67" s="121"/>
      <c r="AK67" s="121"/>
      <c r="AL67" s="121"/>
      <c r="AM67" s="121"/>
      <c r="AN67" s="142">
        <f>IFERROR(_xlfn.XLOOKUP($A67,Input_Raw!$A:$A,Input_Raw!$DB:$DB),"")</f>
        <v>6.6303234476634554E-3</v>
      </c>
      <c r="AO67" s="140">
        <f>IFERROR((_xlfn.XLOOKUP($A67,'WTG Reactive Power'!$A:$A,'WTG Reactive Power'!$AR:$AR))/X67/1000,"")</f>
        <v>0</v>
      </c>
      <c r="AP67" s="140">
        <f>IFERROR(_xlfn.XLOOKUP($D67,'Modelling New'!$D:$D,'Modelling New'!$AK:$AK),"")</f>
        <v>0.05</v>
      </c>
      <c r="AQ67" s="140">
        <f>IFERROR(_xlfn.XLOOKUP($D67,'Modelling New'!$D:$D,'Modelling New'!$AL:$AL),"")</f>
        <v>0.05</v>
      </c>
      <c r="AR67">
        <f>IFERROR(_xlfn.XLOOKUP($D67,'Modelling New'!$D:$D,'Modelling New'!$N:$N),"")</f>
        <v>78</v>
      </c>
    </row>
    <row r="68" spans="1:44">
      <c r="A68" s="134">
        <f t="shared" si="7"/>
        <v>45811</v>
      </c>
      <c r="B68" s="123">
        <f>YEAR(Table13[[#This Row],[Date]])+IF(MONTH(Table13[[#This Row],[Date]])&gt;=4,1,0)</f>
        <v>2026</v>
      </c>
      <c r="C68" s="121">
        <f>YEAR(Table13[[#This Row],[Date]])</f>
        <v>2025</v>
      </c>
      <c r="D68" s="135">
        <f>Table13[[#This Row],[Date]]-DAY(Table13[[#This Row],[Date]])+1</f>
        <v>45809</v>
      </c>
      <c r="E68" s="121">
        <f t="shared" si="4"/>
        <v>30</v>
      </c>
      <c r="F68" s="124"/>
      <c r="G68" s="125"/>
      <c r="H68" s="125"/>
      <c r="I68" s="125"/>
      <c r="J68" s="125"/>
      <c r="K68" s="136"/>
      <c r="L68" s="125"/>
      <c r="M68" s="125">
        <f>IFERROR(_xlfn.XLOOKUP($A68,Input_Raw!$A:$A,Input_Raw!CG:CG),"")</f>
        <v>5.25979450046166</v>
      </c>
      <c r="N68" s="125">
        <f>IFERROR(_xlfn.XLOOKUP($A68,Input_Raw!$A:$A,Input_Raw!CH:CH),"")</f>
        <v>0</v>
      </c>
      <c r="O68" s="137">
        <f t="shared" si="6"/>
        <v>0.93595020320139455</v>
      </c>
      <c r="P68" s="137">
        <f>IFERROR(1-SUMIF(WTG_BD!$F:$F,$A68,WTG_BD!$AA:$AA)/($AA68+SUMIF(WTG_BD!$F:$F,$A68,WTG_BD!$AA:$AA)),"")</f>
        <v>0.93814077972208876</v>
      </c>
      <c r="Q68" s="138">
        <f>IFERROR(1-SUMIF(IGA_BD!$F:$F,$A68,IGA_BD!$V:$V)/($AA68+SUMIF(IGA_BD!$F:$F,$A68,IGA_BD!$V:$V)),"")</f>
        <v>0.99766498102625589</v>
      </c>
      <c r="R68" s="143">
        <f>IFERROR(1-SUMIF(Grid_BD!$F:$F,$A68,Grid_BD!$X:$X)/($AA68+SUMIF(Grid_BD!$F:$F,$A68,Grid_BD!$X:$X)),"")</f>
        <v>1</v>
      </c>
      <c r="S68" s="121"/>
      <c r="T68" s="138"/>
      <c r="U68" s="139"/>
      <c r="V68" s="121"/>
      <c r="W68" s="140">
        <f>IFERROR(Table13[[#This Row],[Mtr_Net_Exp (KWh)]]/(24*AR68*1000),"")</f>
        <v>0.38846153846153847</v>
      </c>
      <c r="X68" s="121">
        <f>IFERROR(_xlfn.XLOOKUP($A68,Input_Raw!$A:$A,Input_Raw!$CF:$CF),"")</f>
        <v>730526</v>
      </c>
      <c r="Y68" s="121">
        <f>IFERROR(_xlfn.XLOOKUP($A68,Input_Raw!$A:$A,Input_Raw!$CZ:$CZ),"")</f>
        <v>727200</v>
      </c>
      <c r="Z68" s="121">
        <f>IFERROR(_xlfn.XLOOKUP($A68,Input_Raw!$A:$A,Input_Raw!$DA:$DA),"")</f>
        <v>0</v>
      </c>
      <c r="AA68" s="123">
        <f t="shared" si="5"/>
        <v>727200</v>
      </c>
      <c r="AB68" s="121">
        <f>IFERROR(_xlfn.XLOOKUP($A68,Input_Raw!$A:$A,Input_Raw!$DG:$DG),"")</f>
        <v>78</v>
      </c>
      <c r="AC68" s="141">
        <f>IFERROR(_xlfn.XLOOKUP($D68,'Modelling New'!$D:$D,'Modelling New'!$J:$J),"")</f>
        <v>6.5666666666666664</v>
      </c>
      <c r="AD68" s="123">
        <f>IFERROR(_xlfn.XLOOKUP($D68,'Modelling New'!$D:$D,'Modelling New'!$T:$T)*1000,"")</f>
        <v>501275.34211348038</v>
      </c>
      <c r="AE68" s="140"/>
      <c r="AF68" s="140">
        <f>IFERROR(_xlfn.XLOOKUP($D68,'Modelling New'!$D:$D,'Modelling New'!$W:$W),"")</f>
        <v>0.26777528959053443</v>
      </c>
      <c r="AG68" s="140">
        <f>IFERROR(_xlfn.XLOOKUP($D68,'Modelling New'!$D:$D,'Modelling New'!$AE:$AE),"")</f>
        <v>0.96029999999999993</v>
      </c>
      <c r="AH68" s="140">
        <f>IFERROR(_xlfn.XLOOKUP($D68,'Modelling New'!$D:$D,'Modelling New'!$AF:$AF),"")</f>
        <v>0.995</v>
      </c>
      <c r="AI68" s="121">
        <f>IFERROR(_xlfn.XLOOKUP($A68,Input_Raw!$A:$A,Input_Raw!$DE:$DE),"")</f>
        <v>730.52</v>
      </c>
      <c r="AJ68" s="121"/>
      <c r="AK68" s="121"/>
      <c r="AL68" s="121"/>
      <c r="AM68" s="121"/>
      <c r="AN68" s="142">
        <f>IFERROR(_xlfn.XLOOKUP($A68,Input_Raw!$A:$A,Input_Raw!$DB:$DB),"")</f>
        <v>4.5528838124857529E-3</v>
      </c>
      <c r="AO68" s="140">
        <f>IFERROR((_xlfn.XLOOKUP($A68,'WTG Reactive Power'!$A:$A,'WTG Reactive Power'!$AR:$AR))/X68/1000,"")</f>
        <v>0</v>
      </c>
      <c r="AP68" s="140">
        <f>IFERROR(_xlfn.XLOOKUP($D68,'Modelling New'!$D:$D,'Modelling New'!$AK:$AK),"")</f>
        <v>0.05</v>
      </c>
      <c r="AQ68" s="140">
        <f>IFERROR(_xlfn.XLOOKUP($D68,'Modelling New'!$D:$D,'Modelling New'!$AL:$AL),"")</f>
        <v>0.05</v>
      </c>
      <c r="AR68">
        <f>IFERROR(_xlfn.XLOOKUP($D68,'Modelling New'!$D:$D,'Modelling New'!$N:$N),"")</f>
        <v>78</v>
      </c>
    </row>
    <row r="69" spans="1:44">
      <c r="A69" s="134">
        <f t="shared" si="7"/>
        <v>45812</v>
      </c>
      <c r="B69" s="123">
        <f>YEAR(Table13[[#This Row],[Date]])+IF(MONTH(Table13[[#This Row],[Date]])&gt;=4,1,0)</f>
        <v>2026</v>
      </c>
      <c r="C69" s="121">
        <f>YEAR(Table13[[#This Row],[Date]])</f>
        <v>2025</v>
      </c>
      <c r="D69" s="135">
        <f>Table13[[#This Row],[Date]]-DAY(Table13[[#This Row],[Date]])+1</f>
        <v>45809</v>
      </c>
      <c r="E69" s="121">
        <f t="shared" si="4"/>
        <v>30</v>
      </c>
      <c r="F69" s="124"/>
      <c r="G69" s="125"/>
      <c r="H69" s="125"/>
      <c r="I69" s="125"/>
      <c r="J69" s="125"/>
      <c r="K69" s="136"/>
      <c r="L69" s="125"/>
      <c r="M69" s="125">
        <f>IFERROR(_xlfn.XLOOKUP($A69,Input_Raw!$A:$A,Input_Raw!CG:CG),"")</f>
        <v>3.885204939707056</v>
      </c>
      <c r="N69" s="125">
        <f>IFERROR(_xlfn.XLOOKUP($A69,Input_Raw!$A:$A,Input_Raw!CH:CH),"")</f>
        <v>0</v>
      </c>
      <c r="O69" s="137">
        <f t="shared" si="6"/>
        <v>0.84607777432884912</v>
      </c>
      <c r="P69" s="137">
        <f>IFERROR(1-SUMIF(WTG_BD!$F:$F,$A69,WTG_BD!$AA:$AA)/($AA69+SUMIF(WTG_BD!$F:$F,$A69,WTG_BD!$AA:$AA)),"")</f>
        <v>0.96744325953488453</v>
      </c>
      <c r="Q69" s="138">
        <f>IFERROR(1-SUMIF(IGA_BD!$F:$F,$A69,IGA_BD!$V:$V)/($AA69+SUMIF(IGA_BD!$F:$F,$A69,IGA_BD!$V:$V)),"")</f>
        <v>0.87455028084604769</v>
      </c>
      <c r="R69" s="143">
        <f>IFERROR(1-SUMIF(Grid_BD!$F:$F,$A69,Grid_BD!$X:$X)/($AA69+SUMIF(Grid_BD!$F:$F,$A69,Grid_BD!$X:$X)),"")</f>
        <v>1</v>
      </c>
      <c r="S69" s="121"/>
      <c r="T69" s="138"/>
      <c r="U69" s="139"/>
      <c r="V69" s="121"/>
      <c r="W69" s="140">
        <f>IFERROR(Table13[[#This Row],[Mtr_Net_Exp (KWh)]]/(24*AR69*1000),"")</f>
        <v>8.3974358974358967E-2</v>
      </c>
      <c r="X69" s="121">
        <f>IFERROR(_xlfn.XLOOKUP($A69,Input_Raw!$A:$A,Input_Raw!$CF:$CF),"")</f>
        <v>161209</v>
      </c>
      <c r="Y69" s="121">
        <f>IFERROR(_xlfn.XLOOKUP($A69,Input_Raw!$A:$A,Input_Raw!$CZ:$CZ),"")</f>
        <v>157200</v>
      </c>
      <c r="Z69" s="121">
        <f>IFERROR(_xlfn.XLOOKUP($A69,Input_Raw!$A:$A,Input_Raw!$DA:$DA),"")</f>
        <v>0</v>
      </c>
      <c r="AA69" s="123">
        <f t="shared" si="5"/>
        <v>157200</v>
      </c>
      <c r="AB69" s="121">
        <f>IFERROR(_xlfn.XLOOKUP($A69,Input_Raw!$A:$A,Input_Raw!$DG:$DG),"")</f>
        <v>78</v>
      </c>
      <c r="AC69" s="141">
        <f>IFERROR(_xlfn.XLOOKUP($D69,'Modelling New'!$D:$D,'Modelling New'!$J:$J),"")</f>
        <v>6.5666666666666664</v>
      </c>
      <c r="AD69" s="123">
        <f>IFERROR(_xlfn.XLOOKUP($D69,'Modelling New'!$D:$D,'Modelling New'!$T:$T)*1000,"")</f>
        <v>501275.34211348038</v>
      </c>
      <c r="AE69" s="140"/>
      <c r="AF69" s="140">
        <f>IFERROR(_xlfn.XLOOKUP($D69,'Modelling New'!$D:$D,'Modelling New'!$W:$W),"")</f>
        <v>0.26777528959053443</v>
      </c>
      <c r="AG69" s="140">
        <f>IFERROR(_xlfn.XLOOKUP($D69,'Modelling New'!$D:$D,'Modelling New'!$AE:$AE),"")</f>
        <v>0.96029999999999993</v>
      </c>
      <c r="AH69" s="140">
        <f>IFERROR(_xlfn.XLOOKUP($D69,'Modelling New'!$D:$D,'Modelling New'!$AF:$AF),"")</f>
        <v>0.995</v>
      </c>
      <c r="AI69" s="121">
        <f>IFERROR(_xlfn.XLOOKUP($A69,Input_Raw!$A:$A,Input_Raw!$DE:$DE),"")</f>
        <v>161.19999999999999</v>
      </c>
      <c r="AJ69" s="121"/>
      <c r="AK69" s="121"/>
      <c r="AL69" s="121"/>
      <c r="AM69" s="121"/>
      <c r="AN69" s="142">
        <f>IFERROR(_xlfn.XLOOKUP($A69,Input_Raw!$A:$A,Input_Raw!$DB:$DB),"")</f>
        <v>2.486833861633031E-2</v>
      </c>
      <c r="AO69" s="140">
        <f>IFERROR((_xlfn.XLOOKUP($A69,'WTG Reactive Power'!$A:$A,'WTG Reactive Power'!$AR:$AR))/X69/1000,"")</f>
        <v>1.4918521918751436E-5</v>
      </c>
      <c r="AP69" s="140">
        <f>IFERROR(_xlfn.XLOOKUP($D69,'Modelling New'!$D:$D,'Modelling New'!$AK:$AK),"")</f>
        <v>0.05</v>
      </c>
      <c r="AQ69" s="140">
        <f>IFERROR(_xlfn.XLOOKUP($D69,'Modelling New'!$D:$D,'Modelling New'!$AL:$AL),"")</f>
        <v>0.05</v>
      </c>
      <c r="AR69">
        <f>IFERROR(_xlfn.XLOOKUP($D69,'Modelling New'!$D:$D,'Modelling New'!$N:$N),"")</f>
        <v>78</v>
      </c>
    </row>
    <row r="70" spans="1:44">
      <c r="A70" s="134">
        <f t="shared" si="7"/>
        <v>45813</v>
      </c>
      <c r="B70" s="123">
        <f>YEAR(Table13[[#This Row],[Date]])+IF(MONTH(Table13[[#This Row],[Date]])&gt;=4,1,0)</f>
        <v>2026</v>
      </c>
      <c r="C70" s="121">
        <f>YEAR(Table13[[#This Row],[Date]])</f>
        <v>2025</v>
      </c>
      <c r="D70" s="135">
        <f>Table13[[#This Row],[Date]]-DAY(Table13[[#This Row],[Date]])+1</f>
        <v>45809</v>
      </c>
      <c r="E70" s="121">
        <f t="shared" si="4"/>
        <v>30</v>
      </c>
      <c r="F70" s="124"/>
      <c r="G70" s="125"/>
      <c r="H70" s="125"/>
      <c r="I70" s="125"/>
      <c r="J70" s="125"/>
      <c r="K70" s="136"/>
      <c r="L70" s="125"/>
      <c r="M70" s="125">
        <f>IFERROR(_xlfn.XLOOKUP($A70,Input_Raw!$A:$A,Input_Raw!CG:CG),"")</f>
        <v>4.6823076923076918</v>
      </c>
      <c r="N70" s="125">
        <f>IFERROR(_xlfn.XLOOKUP($A70,Input_Raw!$A:$A,Input_Raw!CH:CH),"")</f>
        <v>0</v>
      </c>
      <c r="O70" s="137">
        <f t="shared" si="6"/>
        <v>0.93772308578127006</v>
      </c>
      <c r="P70" s="137">
        <f>IFERROR(1-SUMIF(WTG_BD!$F:$F,$A70,WTG_BD!$AA:$AA)/($AA70+SUMIF(WTG_BD!$F:$F,$A70,WTG_BD!$AA:$AA)),"")</f>
        <v>0.93772308578127006</v>
      </c>
      <c r="Q70" s="138">
        <f>IFERROR(1-SUMIF(IGA_BD!$F:$F,$A70,IGA_BD!$V:$V)/($AA70+SUMIF(IGA_BD!$F:$F,$A70,IGA_BD!$V:$V)),"")</f>
        <v>1</v>
      </c>
      <c r="R70" s="143">
        <f>IFERROR(1-SUMIF(Grid_BD!$F:$F,$A70,Grid_BD!$X:$X)/($AA70+SUMIF(Grid_BD!$F:$F,$A70,Grid_BD!$X:$X)),"")</f>
        <v>1</v>
      </c>
      <c r="S70" s="121"/>
      <c r="T70" s="138"/>
      <c r="U70" s="139"/>
      <c r="V70" s="121"/>
      <c r="W70" s="140">
        <f>IFERROR(Table13[[#This Row],[Mtr_Net_Exp (KWh)]]/(24*AR70*1000),"")</f>
        <v>0.14423076923076922</v>
      </c>
      <c r="X70" s="121">
        <f>IFERROR(_xlfn.XLOOKUP($A70,Input_Raw!$A:$A,Input_Raw!$CF:$CF),"")</f>
        <v>275124</v>
      </c>
      <c r="Y70" s="121">
        <f>IFERROR(_xlfn.XLOOKUP($A70,Input_Raw!$A:$A,Input_Raw!$CZ:$CZ),"")</f>
        <v>272400</v>
      </c>
      <c r="Z70" s="121">
        <f>IFERROR(_xlfn.XLOOKUP($A70,Input_Raw!$A:$A,Input_Raw!$DA:$DA),"")</f>
        <v>2400</v>
      </c>
      <c r="AA70" s="123">
        <f t="shared" si="5"/>
        <v>270000</v>
      </c>
      <c r="AB70" s="121">
        <f>IFERROR(_xlfn.XLOOKUP($A70,Input_Raw!$A:$A,Input_Raw!$DG:$DG),"")</f>
        <v>78</v>
      </c>
      <c r="AC70" s="141">
        <f>IFERROR(_xlfn.XLOOKUP($D70,'Modelling New'!$D:$D,'Modelling New'!$J:$J),"")</f>
        <v>6.5666666666666664</v>
      </c>
      <c r="AD70" s="123">
        <f>IFERROR(_xlfn.XLOOKUP($D70,'Modelling New'!$D:$D,'Modelling New'!$T:$T)*1000,"")</f>
        <v>501275.34211348038</v>
      </c>
      <c r="AE70" s="140"/>
      <c r="AF70" s="140">
        <f>IFERROR(_xlfn.XLOOKUP($D70,'Modelling New'!$D:$D,'Modelling New'!$W:$W),"")</f>
        <v>0.26777528959053443</v>
      </c>
      <c r="AG70" s="140">
        <f>IFERROR(_xlfn.XLOOKUP($D70,'Modelling New'!$D:$D,'Modelling New'!$AE:$AE),"")</f>
        <v>0.96029999999999993</v>
      </c>
      <c r="AH70" s="140">
        <f>IFERROR(_xlfn.XLOOKUP($D70,'Modelling New'!$D:$D,'Modelling New'!$AF:$AF),"")</f>
        <v>0.995</v>
      </c>
      <c r="AI70" s="121">
        <f>IFERROR(_xlfn.XLOOKUP($A70,Input_Raw!$A:$A,Input_Raw!$DE:$DE),"")</f>
        <v>275.12</v>
      </c>
      <c r="AJ70" s="121"/>
      <c r="AK70" s="121"/>
      <c r="AL70" s="121"/>
      <c r="AM70" s="121"/>
      <c r="AN70" s="142">
        <f>IFERROR(_xlfn.XLOOKUP($A70,Input_Raw!$A:$A,Input_Raw!$DB:$DB),"")</f>
        <v>9.9009900990099098E-3</v>
      </c>
      <c r="AO70" s="140">
        <f>IFERROR((_xlfn.XLOOKUP($A70,'WTG Reactive Power'!$A:$A,'WTG Reactive Power'!$AR:$AR))/X70/1000,"")</f>
        <v>2.1921024701589101E-5</v>
      </c>
      <c r="AP70" s="140">
        <f>IFERROR(_xlfn.XLOOKUP($D70,'Modelling New'!$D:$D,'Modelling New'!$AK:$AK),"")</f>
        <v>0.05</v>
      </c>
      <c r="AQ70" s="140">
        <f>IFERROR(_xlfn.XLOOKUP($D70,'Modelling New'!$D:$D,'Modelling New'!$AL:$AL),"")</f>
        <v>0.05</v>
      </c>
      <c r="AR70">
        <f>IFERROR(_xlfn.XLOOKUP($D70,'Modelling New'!$D:$D,'Modelling New'!$N:$N),"")</f>
        <v>78</v>
      </c>
    </row>
    <row r="71" spans="1:44">
      <c r="A71" s="134">
        <f t="shared" si="7"/>
        <v>45814</v>
      </c>
      <c r="B71" s="123">
        <f>YEAR(Table13[[#This Row],[Date]])+IF(MONTH(Table13[[#This Row],[Date]])&gt;=4,1,0)</f>
        <v>2026</v>
      </c>
      <c r="C71" s="121">
        <f>YEAR(Table13[[#This Row],[Date]])</f>
        <v>2025</v>
      </c>
      <c r="D71" s="135">
        <f>Table13[[#This Row],[Date]]-DAY(Table13[[#This Row],[Date]])+1</f>
        <v>45809</v>
      </c>
      <c r="E71" s="121">
        <f t="shared" si="4"/>
        <v>30</v>
      </c>
      <c r="F71" s="124"/>
      <c r="G71" s="125"/>
      <c r="H71" s="125"/>
      <c r="I71" s="125"/>
      <c r="J71" s="125"/>
      <c r="K71" s="136"/>
      <c r="L71" s="125"/>
      <c r="M71" s="125">
        <f>IFERROR(_xlfn.XLOOKUP($A71,Input_Raw!$A:$A,Input_Raw!CG:CG),"")</f>
        <v>4.8151282051282047</v>
      </c>
      <c r="N71" s="125">
        <f>IFERROR(_xlfn.XLOOKUP($A71,Input_Raw!$A:$A,Input_Raw!CH:CH),"")</f>
        <v>0</v>
      </c>
      <c r="O71" s="137">
        <f t="shared" si="6"/>
        <v>0.94185200892899668</v>
      </c>
      <c r="P71" s="137">
        <f>IFERROR(1-SUMIF(WTG_BD!$F:$F,$A71,WTG_BD!$AA:$AA)/($AA71+SUMIF(WTG_BD!$F:$F,$A71,WTG_BD!$AA:$AA)),"")</f>
        <v>0.94185200892899668</v>
      </c>
      <c r="Q71" s="138">
        <f>IFERROR(1-SUMIF(IGA_BD!$F:$F,$A71,IGA_BD!$V:$V)/($AA71+SUMIF(IGA_BD!$F:$F,$A71,IGA_BD!$V:$V)),"")</f>
        <v>1</v>
      </c>
      <c r="R71" s="143">
        <f>IFERROR(1-SUMIF(Grid_BD!$F:$F,$A71,Grid_BD!$X:$X)/($AA71+SUMIF(Grid_BD!$F:$F,$A71,Grid_BD!$X:$X)),"")</f>
        <v>1</v>
      </c>
      <c r="S71" s="121"/>
      <c r="T71" s="138"/>
      <c r="U71" s="139"/>
      <c r="V71" s="121"/>
      <c r="W71" s="140">
        <f>IFERROR(Table13[[#This Row],[Mtr_Net_Exp (KWh)]]/(24*AR71*1000),"")</f>
        <v>0.21217948717948718</v>
      </c>
      <c r="X71" s="121">
        <f>IFERROR(_xlfn.XLOOKUP($A71,Input_Raw!$A:$A,Input_Raw!$CF:$CF),"")</f>
        <v>409156</v>
      </c>
      <c r="Y71" s="121">
        <f>IFERROR(_xlfn.XLOOKUP($A71,Input_Raw!$A:$A,Input_Raw!$CZ:$CZ),"")</f>
        <v>397200</v>
      </c>
      <c r="Z71" s="121">
        <f>IFERROR(_xlfn.XLOOKUP($A71,Input_Raw!$A:$A,Input_Raw!$DA:$DA),"")</f>
        <v>0</v>
      </c>
      <c r="AA71" s="123">
        <f t="shared" si="5"/>
        <v>397200</v>
      </c>
      <c r="AB71" s="121">
        <f>IFERROR(_xlfn.XLOOKUP($A71,Input_Raw!$A:$A,Input_Raw!$DG:$DG),"")</f>
        <v>78</v>
      </c>
      <c r="AC71" s="141">
        <f>IFERROR(_xlfn.XLOOKUP($D71,'Modelling New'!$D:$D,'Modelling New'!$J:$J),"")</f>
        <v>6.5666666666666664</v>
      </c>
      <c r="AD71" s="123">
        <f>IFERROR(_xlfn.XLOOKUP($D71,'Modelling New'!$D:$D,'Modelling New'!$T:$T)*1000,"")</f>
        <v>501275.34211348038</v>
      </c>
      <c r="AE71" s="140"/>
      <c r="AF71" s="140">
        <f>IFERROR(_xlfn.XLOOKUP($D71,'Modelling New'!$D:$D,'Modelling New'!$W:$W),"")</f>
        <v>0.26777528959053443</v>
      </c>
      <c r="AG71" s="140">
        <f>IFERROR(_xlfn.XLOOKUP($D71,'Modelling New'!$D:$D,'Modelling New'!$AE:$AE),"")</f>
        <v>0.96029999999999993</v>
      </c>
      <c r="AH71" s="140">
        <f>IFERROR(_xlfn.XLOOKUP($D71,'Modelling New'!$D:$D,'Modelling New'!$AF:$AF),"")</f>
        <v>0.995</v>
      </c>
      <c r="AI71" s="121">
        <f>IFERROR(_xlfn.XLOOKUP($A71,Input_Raw!$A:$A,Input_Raw!$DE:$DE),"")</f>
        <v>409.15</v>
      </c>
      <c r="AJ71" s="121"/>
      <c r="AK71" s="121"/>
      <c r="AL71" s="121"/>
      <c r="AM71" s="121"/>
      <c r="AN71" s="142">
        <f>IFERROR(_xlfn.XLOOKUP($A71,Input_Raw!$A:$A,Input_Raw!$DB:$DB),"")</f>
        <v>2.9221128371574645E-2</v>
      </c>
      <c r="AO71" s="140">
        <f>IFERROR((_xlfn.XLOOKUP($A71,'WTG Reactive Power'!$A:$A,'WTG Reactive Power'!$AR:$AR))/X71/1000,"")</f>
        <v>2.9841918485858692E-6</v>
      </c>
      <c r="AP71" s="140">
        <f>IFERROR(_xlfn.XLOOKUP($D71,'Modelling New'!$D:$D,'Modelling New'!$AK:$AK),"")</f>
        <v>0.05</v>
      </c>
      <c r="AQ71" s="140">
        <f>IFERROR(_xlfn.XLOOKUP($D71,'Modelling New'!$D:$D,'Modelling New'!$AL:$AL),"")</f>
        <v>0.05</v>
      </c>
      <c r="AR71">
        <f>IFERROR(_xlfn.XLOOKUP($D71,'Modelling New'!$D:$D,'Modelling New'!$N:$N),"")</f>
        <v>78</v>
      </c>
    </row>
    <row r="72" spans="1:44">
      <c r="A72" s="134">
        <f t="shared" si="7"/>
        <v>45815</v>
      </c>
      <c r="B72" s="123">
        <f>YEAR(Table13[[#This Row],[Date]])+IF(MONTH(Table13[[#This Row],[Date]])&gt;=4,1,0)</f>
        <v>2026</v>
      </c>
      <c r="C72" s="121">
        <f>YEAR(Table13[[#This Row],[Date]])</f>
        <v>2025</v>
      </c>
      <c r="D72" s="135">
        <f>Table13[[#This Row],[Date]]-DAY(Table13[[#This Row],[Date]])+1</f>
        <v>45809</v>
      </c>
      <c r="E72" s="121">
        <f t="shared" si="4"/>
        <v>30</v>
      </c>
      <c r="F72" s="124"/>
      <c r="G72" s="125"/>
      <c r="H72" s="125"/>
      <c r="I72" s="125"/>
      <c r="J72" s="125"/>
      <c r="K72" s="136"/>
      <c r="L72" s="125"/>
      <c r="M72" s="125">
        <f>IFERROR(_xlfn.XLOOKUP($A72,Input_Raw!$A:$A,Input_Raw!CG:CG),"")</f>
        <v>5.25979450046166</v>
      </c>
      <c r="N72" s="125">
        <f>IFERROR(_xlfn.XLOOKUP($A72,Input_Raw!$A:$A,Input_Raw!CH:CH),"")</f>
        <v>0</v>
      </c>
      <c r="O72" s="137">
        <f t="shared" si="6"/>
        <v>0.94307511083610718</v>
      </c>
      <c r="P72" s="137">
        <f>IFERROR(1-SUMIF(WTG_BD!$F:$F,$A72,WTG_BD!$AA:$AA)/($AA72+SUMIF(WTG_BD!$F:$F,$A72,WTG_BD!$AA:$AA)),"")</f>
        <v>0.94307511083610718</v>
      </c>
      <c r="Q72" s="138">
        <f>IFERROR(1-SUMIF(IGA_BD!$F:$F,$A72,IGA_BD!$V:$V)/($AA72+SUMIF(IGA_BD!$F:$F,$A72,IGA_BD!$V:$V)),"")</f>
        <v>1</v>
      </c>
      <c r="R72" s="143">
        <f>IFERROR(1-SUMIF(Grid_BD!$F:$F,$A72,Grid_BD!$X:$X)/($AA72+SUMIF(Grid_BD!$F:$F,$A72,Grid_BD!$X:$X)),"")</f>
        <v>1</v>
      </c>
      <c r="S72" s="121"/>
      <c r="T72" s="138"/>
      <c r="U72" s="139"/>
      <c r="V72" s="121"/>
      <c r="W72" s="140">
        <f>IFERROR(Table13[[#This Row],[Mtr_Net_Exp (KWh)]]/(24*AR72*1000),"")</f>
        <v>0.2935897435897436</v>
      </c>
      <c r="X72" s="121">
        <f>IFERROR(_xlfn.XLOOKUP($A72,Input_Raw!$A:$A,Input_Raw!$CF:$CF),"")</f>
        <v>551667</v>
      </c>
      <c r="Y72" s="121">
        <f>IFERROR(_xlfn.XLOOKUP($A72,Input_Raw!$A:$A,Input_Raw!$CZ:$CZ),"")</f>
        <v>549600</v>
      </c>
      <c r="Z72" s="121">
        <f>IFERROR(_xlfn.XLOOKUP($A72,Input_Raw!$A:$A,Input_Raw!$DA:$DA),"")</f>
        <v>0</v>
      </c>
      <c r="AA72" s="123">
        <f t="shared" si="5"/>
        <v>549600</v>
      </c>
      <c r="AB72" s="121">
        <f>IFERROR(_xlfn.XLOOKUP($A72,Input_Raw!$A:$A,Input_Raw!$DG:$DG),"")</f>
        <v>78</v>
      </c>
      <c r="AC72" s="141">
        <f>IFERROR(_xlfn.XLOOKUP($D72,'Modelling New'!$D:$D,'Modelling New'!$J:$J),"")</f>
        <v>6.5666666666666664</v>
      </c>
      <c r="AD72" s="123">
        <f>IFERROR(_xlfn.XLOOKUP($D72,'Modelling New'!$D:$D,'Modelling New'!$T:$T)*1000,"")</f>
        <v>501275.34211348038</v>
      </c>
      <c r="AE72" s="140"/>
      <c r="AF72" s="140">
        <f>IFERROR(_xlfn.XLOOKUP($D72,'Modelling New'!$D:$D,'Modelling New'!$W:$W),"")</f>
        <v>0.26777528959053443</v>
      </c>
      <c r="AG72" s="140">
        <f>IFERROR(_xlfn.XLOOKUP($D72,'Modelling New'!$D:$D,'Modelling New'!$AE:$AE),"")</f>
        <v>0.96029999999999993</v>
      </c>
      <c r="AH72" s="140">
        <f>IFERROR(_xlfn.XLOOKUP($D72,'Modelling New'!$D:$D,'Modelling New'!$AF:$AF),"")</f>
        <v>0.995</v>
      </c>
      <c r="AI72" s="121">
        <f>IFERROR(_xlfn.XLOOKUP($A72,Input_Raw!$A:$A,Input_Raw!$DE:$DE),"")</f>
        <v>551.66</v>
      </c>
      <c r="AJ72" s="121"/>
      <c r="AK72" s="121"/>
      <c r="AL72" s="121"/>
      <c r="AM72" s="121"/>
      <c r="AN72" s="142">
        <f>IFERROR(_xlfn.XLOOKUP($A72,Input_Raw!$A:$A,Input_Raw!$DB:$DB),"")</f>
        <v>3.7468255306190024E-3</v>
      </c>
      <c r="AO72" s="140">
        <f>IFERROR((_xlfn.XLOOKUP($A72,'WTG Reactive Power'!$A:$A,'WTG Reactive Power'!$AR:$AR))/X72/1000,"")</f>
        <v>0</v>
      </c>
      <c r="AP72" s="140">
        <f>IFERROR(_xlfn.XLOOKUP($D72,'Modelling New'!$D:$D,'Modelling New'!$AK:$AK),"")</f>
        <v>0.05</v>
      </c>
      <c r="AQ72" s="140">
        <f>IFERROR(_xlfn.XLOOKUP($D72,'Modelling New'!$D:$D,'Modelling New'!$AL:$AL),"")</f>
        <v>0.05</v>
      </c>
      <c r="AR72">
        <f>IFERROR(_xlfn.XLOOKUP($D72,'Modelling New'!$D:$D,'Modelling New'!$N:$N),"")</f>
        <v>78</v>
      </c>
    </row>
    <row r="73" spans="1:44">
      <c r="A73" s="134">
        <f t="shared" si="7"/>
        <v>45816</v>
      </c>
      <c r="B73" s="123">
        <f>YEAR(Table13[[#This Row],[Date]])+IF(MONTH(Table13[[#This Row],[Date]])&gt;=4,1,0)</f>
        <v>2026</v>
      </c>
      <c r="C73" s="121">
        <f>YEAR(Table13[[#This Row],[Date]])</f>
        <v>2025</v>
      </c>
      <c r="D73" s="135">
        <f>Table13[[#This Row],[Date]]-DAY(Table13[[#This Row],[Date]])+1</f>
        <v>45809</v>
      </c>
      <c r="E73" s="121">
        <f t="shared" si="4"/>
        <v>30</v>
      </c>
      <c r="F73" s="124"/>
      <c r="G73" s="125"/>
      <c r="H73" s="125"/>
      <c r="I73" s="125"/>
      <c r="J73" s="125"/>
      <c r="K73" s="136"/>
      <c r="L73" s="125"/>
      <c r="M73" s="125">
        <f>IFERROR(_xlfn.XLOOKUP($A73,Input_Raw!$A:$A,Input_Raw!CG:CG),"")</f>
        <v>5.4376923076923074</v>
      </c>
      <c r="N73" s="125">
        <f>IFERROR(_xlfn.XLOOKUP($A73,Input_Raw!$A:$A,Input_Raw!CH:CH),"")</f>
        <v>0</v>
      </c>
      <c r="O73" s="137">
        <f t="shared" si="6"/>
        <v>0.93821152725936574</v>
      </c>
      <c r="P73" s="137">
        <f>IFERROR(1-SUMIF(WTG_BD!$F:$F,$A73,WTG_BD!$AA:$AA)/($AA73+SUMIF(WTG_BD!$F:$F,$A73,WTG_BD!$AA:$AA)),"")</f>
        <v>0.95679966331378263</v>
      </c>
      <c r="Q73" s="138">
        <f>IFERROR(1-SUMIF(IGA_BD!$F:$F,$A73,IGA_BD!$V:$V)/($AA73+SUMIF(IGA_BD!$F:$F,$A73,IGA_BD!$V:$V)),"")</f>
        <v>0.98057259344130754</v>
      </c>
      <c r="R73" s="143">
        <f>IFERROR(1-SUMIF(Grid_BD!$F:$F,$A73,Grid_BD!$X:$X)/($AA73+SUMIF(Grid_BD!$F:$F,$A73,Grid_BD!$X:$X)),"")</f>
        <v>1</v>
      </c>
      <c r="S73" s="121"/>
      <c r="T73" s="138"/>
      <c r="U73" s="139"/>
      <c r="V73" s="121"/>
      <c r="W73" s="140">
        <f>IFERROR(Table13[[#This Row],[Mtr_Net_Exp (KWh)]]/(24*AR73*1000),"")</f>
        <v>0.30192307692307691</v>
      </c>
      <c r="X73" s="121">
        <f>IFERROR(_xlfn.XLOOKUP($A73,Input_Raw!$A:$A,Input_Raw!$CF:$CF),"")</f>
        <v>567412</v>
      </c>
      <c r="Y73" s="121">
        <f>IFERROR(_xlfn.XLOOKUP($A73,Input_Raw!$A:$A,Input_Raw!$CZ:$CZ),"")</f>
        <v>565200</v>
      </c>
      <c r="Z73" s="121">
        <f>IFERROR(_xlfn.XLOOKUP($A73,Input_Raw!$A:$A,Input_Raw!$DA:$DA),"")</f>
        <v>0</v>
      </c>
      <c r="AA73" s="123">
        <f t="shared" si="5"/>
        <v>565200</v>
      </c>
      <c r="AB73" s="121">
        <f>IFERROR(_xlfn.XLOOKUP($A73,Input_Raw!$A:$A,Input_Raw!$DG:$DG),"")</f>
        <v>78</v>
      </c>
      <c r="AC73" s="141">
        <f>IFERROR(_xlfn.XLOOKUP($D73,'Modelling New'!$D:$D,'Modelling New'!$J:$J),"")</f>
        <v>6.5666666666666664</v>
      </c>
      <c r="AD73" s="123">
        <f>IFERROR(_xlfn.XLOOKUP($D73,'Modelling New'!$D:$D,'Modelling New'!$T:$T)*1000,"")</f>
        <v>501275.34211348038</v>
      </c>
      <c r="AE73" s="140"/>
      <c r="AF73" s="140">
        <f>IFERROR(_xlfn.XLOOKUP($D73,'Modelling New'!$D:$D,'Modelling New'!$W:$W),"")</f>
        <v>0.26777528959053443</v>
      </c>
      <c r="AG73" s="140">
        <f>IFERROR(_xlfn.XLOOKUP($D73,'Modelling New'!$D:$D,'Modelling New'!$AE:$AE),"")</f>
        <v>0.96029999999999993</v>
      </c>
      <c r="AH73" s="140">
        <f>IFERROR(_xlfn.XLOOKUP($D73,'Modelling New'!$D:$D,'Modelling New'!$AF:$AF),"")</f>
        <v>0.995</v>
      </c>
      <c r="AI73" s="121">
        <f>IFERROR(_xlfn.XLOOKUP($A73,Input_Raw!$A:$A,Input_Raw!$DE:$DE),"")</f>
        <v>567.41</v>
      </c>
      <c r="AJ73" s="121"/>
      <c r="AK73" s="121"/>
      <c r="AL73" s="121"/>
      <c r="AM73" s="121"/>
      <c r="AN73" s="142">
        <f>IFERROR(_xlfn.XLOOKUP($A73,Input_Raw!$A:$A,Input_Raw!$DB:$DB),"")</f>
        <v>3.8984018667211906E-3</v>
      </c>
      <c r="AO73" s="140">
        <f>IFERROR((_xlfn.XLOOKUP($A73,'WTG Reactive Power'!$A:$A,'WTG Reactive Power'!$AR:$AR))/X73/1000,"")</f>
        <v>2.1518755331223168E-6</v>
      </c>
      <c r="AP73" s="140">
        <f>IFERROR(_xlfn.XLOOKUP($D73,'Modelling New'!$D:$D,'Modelling New'!$AK:$AK),"")</f>
        <v>0.05</v>
      </c>
      <c r="AQ73" s="140">
        <f>IFERROR(_xlfn.XLOOKUP($D73,'Modelling New'!$D:$D,'Modelling New'!$AL:$AL),"")</f>
        <v>0.05</v>
      </c>
      <c r="AR73">
        <f>IFERROR(_xlfn.XLOOKUP($D73,'Modelling New'!$D:$D,'Modelling New'!$N:$N),"")</f>
        <v>78</v>
      </c>
    </row>
    <row r="74" spans="1:44">
      <c r="A74" s="134">
        <f t="shared" si="7"/>
        <v>45817</v>
      </c>
      <c r="B74" s="123">
        <f>YEAR(Table13[[#This Row],[Date]])+IF(MONTH(Table13[[#This Row],[Date]])&gt;=4,1,0)</f>
        <v>2026</v>
      </c>
      <c r="C74" s="121">
        <f>YEAR(Table13[[#This Row],[Date]])</f>
        <v>2025</v>
      </c>
      <c r="D74" s="135">
        <f>Table13[[#This Row],[Date]]-DAY(Table13[[#This Row],[Date]])+1</f>
        <v>45809</v>
      </c>
      <c r="E74" s="121">
        <f t="shared" si="4"/>
        <v>30</v>
      </c>
      <c r="F74" s="124"/>
      <c r="G74" s="125"/>
      <c r="H74" s="125"/>
      <c r="I74" s="125"/>
      <c r="J74" s="125"/>
      <c r="K74" s="136"/>
      <c r="L74" s="125"/>
      <c r="M74" s="125">
        <f>IFERROR(_xlfn.XLOOKUP($A74,Input_Raw!$A:$A,Input_Raw!CG:CG),"")</f>
        <v>6.9443589743589742</v>
      </c>
      <c r="N74" s="125">
        <f>IFERROR(_xlfn.XLOOKUP($A74,Input_Raw!$A:$A,Input_Raw!CH:CH),"")</f>
        <v>0</v>
      </c>
      <c r="O74" s="137">
        <f t="shared" si="6"/>
        <v>0.9359912699702172</v>
      </c>
      <c r="P74" s="137">
        <f>IFERROR(1-SUMIF(WTG_BD!$F:$F,$A74,WTG_BD!$AA:$AA)/($AA74+SUMIF(WTG_BD!$F:$F,$A74,WTG_BD!$AA:$AA)),"")</f>
        <v>0.9359912699702172</v>
      </c>
      <c r="Q74" s="138">
        <f>IFERROR(1-SUMIF(IGA_BD!$F:$F,$A74,IGA_BD!$V:$V)/($AA74+SUMIF(IGA_BD!$F:$F,$A74,IGA_BD!$V:$V)),"")</f>
        <v>1</v>
      </c>
      <c r="R74" s="143">
        <f>IFERROR(1-SUMIF(Grid_BD!$F:$F,$A74,Grid_BD!$X:$X)/($AA74+SUMIF(Grid_BD!$F:$F,$A74,Grid_BD!$X:$X)),"")</f>
        <v>1</v>
      </c>
      <c r="S74" s="121"/>
      <c r="T74" s="138"/>
      <c r="U74" s="139"/>
      <c r="V74" s="121"/>
      <c r="W74" s="140">
        <f>IFERROR(Table13[[#This Row],[Mtr_Net_Exp (KWh)]]/(24*AR74*1000),"")</f>
        <v>0.44038461538461537</v>
      </c>
      <c r="X74" s="121">
        <f>IFERROR(_xlfn.XLOOKUP($A74,Input_Raw!$A:$A,Input_Raw!$CF:$CF),"")</f>
        <v>826022</v>
      </c>
      <c r="Y74" s="121">
        <f>IFERROR(_xlfn.XLOOKUP($A74,Input_Raw!$A:$A,Input_Raw!$CZ:$CZ),"")</f>
        <v>824400</v>
      </c>
      <c r="Z74" s="121">
        <f>IFERROR(_xlfn.XLOOKUP($A74,Input_Raw!$A:$A,Input_Raw!$DA:$DA),"")</f>
        <v>0</v>
      </c>
      <c r="AA74" s="123">
        <f t="shared" si="5"/>
        <v>824400</v>
      </c>
      <c r="AB74" s="121">
        <f>IFERROR(_xlfn.XLOOKUP($A74,Input_Raw!$A:$A,Input_Raw!$DG:$DG),"")</f>
        <v>78</v>
      </c>
      <c r="AC74" s="141">
        <f>IFERROR(_xlfn.XLOOKUP($D74,'Modelling New'!$D:$D,'Modelling New'!$J:$J),"")</f>
        <v>6.5666666666666664</v>
      </c>
      <c r="AD74" s="123">
        <f>IFERROR(_xlfn.XLOOKUP($D74,'Modelling New'!$D:$D,'Modelling New'!$T:$T)*1000,"")</f>
        <v>501275.34211348038</v>
      </c>
      <c r="AE74" s="140"/>
      <c r="AF74" s="140">
        <f>IFERROR(_xlfn.XLOOKUP($D74,'Modelling New'!$D:$D,'Modelling New'!$W:$W),"")</f>
        <v>0.26777528959053443</v>
      </c>
      <c r="AG74" s="140">
        <f>IFERROR(_xlfn.XLOOKUP($D74,'Modelling New'!$D:$D,'Modelling New'!$AE:$AE),"")</f>
        <v>0.96029999999999993</v>
      </c>
      <c r="AH74" s="140">
        <f>IFERROR(_xlfn.XLOOKUP($D74,'Modelling New'!$D:$D,'Modelling New'!$AF:$AF),"")</f>
        <v>0.995</v>
      </c>
      <c r="AI74" s="121">
        <f>IFERROR(_xlfn.XLOOKUP($A74,Input_Raw!$A:$A,Input_Raw!$DE:$DE),"")</f>
        <v>826.02</v>
      </c>
      <c r="AJ74" s="121"/>
      <c r="AK74" s="121"/>
      <c r="AL74" s="121"/>
      <c r="AM74" s="121"/>
      <c r="AN74" s="142">
        <f>IFERROR(_xlfn.XLOOKUP($A74,Input_Raw!$A:$A,Input_Raw!$DB:$DB),"")</f>
        <v>1.9636280873874812E-3</v>
      </c>
      <c r="AO74" s="140">
        <f>IFERROR((_xlfn.XLOOKUP($A74,'WTG Reactive Power'!$A:$A,'WTG Reactive Power'!$AR:$AR))/X74/1000,"")</f>
        <v>0</v>
      </c>
      <c r="AP74" s="140">
        <f>IFERROR(_xlfn.XLOOKUP($D74,'Modelling New'!$D:$D,'Modelling New'!$AK:$AK),"")</f>
        <v>0.05</v>
      </c>
      <c r="AQ74" s="140">
        <f>IFERROR(_xlfn.XLOOKUP($D74,'Modelling New'!$D:$D,'Modelling New'!$AL:$AL),"")</f>
        <v>0.05</v>
      </c>
      <c r="AR74">
        <f>IFERROR(_xlfn.XLOOKUP($D74,'Modelling New'!$D:$D,'Modelling New'!$N:$N),"")</f>
        <v>78</v>
      </c>
    </row>
    <row r="75" spans="1:44">
      <c r="A75" s="134">
        <f t="shared" si="7"/>
        <v>45818</v>
      </c>
      <c r="B75" s="123">
        <f>YEAR(Table13[[#This Row],[Date]])+IF(MONTH(Table13[[#This Row],[Date]])&gt;=4,1,0)</f>
        <v>2026</v>
      </c>
      <c r="C75" s="121">
        <f>YEAR(Table13[[#This Row],[Date]])</f>
        <v>2025</v>
      </c>
      <c r="D75" s="135">
        <f>Table13[[#This Row],[Date]]-DAY(Table13[[#This Row],[Date]])+1</f>
        <v>45809</v>
      </c>
      <c r="E75" s="121">
        <f t="shared" si="4"/>
        <v>30</v>
      </c>
      <c r="F75" s="124"/>
      <c r="G75" s="125"/>
      <c r="H75" s="125"/>
      <c r="I75" s="125"/>
      <c r="J75" s="125"/>
      <c r="K75" s="136"/>
      <c r="L75" s="125"/>
      <c r="M75" s="125">
        <f>IFERROR(_xlfn.XLOOKUP($A75,Input_Raw!$A:$A,Input_Raw!CG:CG),"")</f>
        <v>5.3748717948717948</v>
      </c>
      <c r="N75" s="125">
        <f>IFERROR(_xlfn.XLOOKUP($A75,Input_Raw!$A:$A,Input_Raw!CH:CH),"")</f>
        <v>0</v>
      </c>
      <c r="O75" s="137">
        <f t="shared" si="6"/>
        <v>0.93108979290480798</v>
      </c>
      <c r="P75" s="137">
        <f>IFERROR(1-SUMIF(WTG_BD!$F:$F,$A75,WTG_BD!$AA:$AA)/($AA75+SUMIF(WTG_BD!$F:$F,$A75,WTG_BD!$AA:$AA)),"")</f>
        <v>0.93108979290480798</v>
      </c>
      <c r="Q75" s="138">
        <f>IFERROR(1-SUMIF(IGA_BD!$F:$F,$A75,IGA_BD!$V:$V)/($AA75+SUMIF(IGA_BD!$F:$F,$A75,IGA_BD!$V:$V)),"")</f>
        <v>1</v>
      </c>
      <c r="R75" s="143">
        <f>IFERROR(1-SUMIF(Grid_BD!$F:$F,$A75,Grid_BD!$X:$X)/($AA75+SUMIF(Grid_BD!$F:$F,$A75,Grid_BD!$X:$X)),"")</f>
        <v>1</v>
      </c>
      <c r="S75" s="121"/>
      <c r="T75" s="138"/>
      <c r="U75" s="139"/>
      <c r="V75" s="121"/>
      <c r="W75" s="140">
        <f>IFERROR(Table13[[#This Row],[Mtr_Net_Exp (KWh)]]/(24*AR75*1000),"")</f>
        <v>0.2935897435897436</v>
      </c>
      <c r="X75" s="121">
        <f>IFERROR(_xlfn.XLOOKUP($A75,Input_Raw!$A:$A,Input_Raw!$CF:$CF),"")</f>
        <v>554892</v>
      </c>
      <c r="Y75" s="121">
        <f>IFERROR(_xlfn.XLOOKUP($A75,Input_Raw!$A:$A,Input_Raw!$CZ:$CZ),"")</f>
        <v>552000</v>
      </c>
      <c r="Z75" s="121">
        <f>IFERROR(_xlfn.XLOOKUP($A75,Input_Raw!$A:$A,Input_Raw!$DA:$DA),"")</f>
        <v>2400</v>
      </c>
      <c r="AA75" s="123">
        <f t="shared" si="5"/>
        <v>549600</v>
      </c>
      <c r="AB75" s="121">
        <f>IFERROR(_xlfn.XLOOKUP($A75,Input_Raw!$A:$A,Input_Raw!$DG:$DG),"")</f>
        <v>78</v>
      </c>
      <c r="AC75" s="141">
        <f>IFERROR(_xlfn.XLOOKUP($D75,'Modelling New'!$D:$D,'Modelling New'!$J:$J),"")</f>
        <v>6.5666666666666664</v>
      </c>
      <c r="AD75" s="123">
        <f>IFERROR(_xlfn.XLOOKUP($D75,'Modelling New'!$D:$D,'Modelling New'!$T:$T)*1000,"")</f>
        <v>501275.34211348038</v>
      </c>
      <c r="AE75" s="140"/>
      <c r="AF75" s="140">
        <f>IFERROR(_xlfn.XLOOKUP($D75,'Modelling New'!$D:$D,'Modelling New'!$W:$W),"")</f>
        <v>0.26777528959053443</v>
      </c>
      <c r="AG75" s="140">
        <f>IFERROR(_xlfn.XLOOKUP($D75,'Modelling New'!$D:$D,'Modelling New'!$AE:$AE),"")</f>
        <v>0.96029999999999993</v>
      </c>
      <c r="AH75" s="140">
        <f>IFERROR(_xlfn.XLOOKUP($D75,'Modelling New'!$D:$D,'Modelling New'!$AF:$AF),"")</f>
        <v>0.995</v>
      </c>
      <c r="AI75" s="121">
        <f>IFERROR(_xlfn.XLOOKUP($A75,Input_Raw!$A:$A,Input_Raw!$DE:$DE),"")</f>
        <v>554.89</v>
      </c>
      <c r="AJ75" s="121"/>
      <c r="AK75" s="121"/>
      <c r="AL75" s="121"/>
      <c r="AM75" s="121"/>
      <c r="AN75" s="142">
        <f>IFERROR(_xlfn.XLOOKUP($A75,Input_Raw!$A:$A,Input_Raw!$DB:$DB),"")</f>
        <v>5.211825003784476E-3</v>
      </c>
      <c r="AO75" s="140">
        <f>IFERROR((_xlfn.XLOOKUP($A75,'WTG Reactive Power'!$A:$A,'WTG Reactive Power'!$AR:$AR))/X75/1000,"")</f>
        <v>6.5346049321309367E-6</v>
      </c>
      <c r="AP75" s="140">
        <f>IFERROR(_xlfn.XLOOKUP($D75,'Modelling New'!$D:$D,'Modelling New'!$AK:$AK),"")</f>
        <v>0.05</v>
      </c>
      <c r="AQ75" s="140">
        <f>IFERROR(_xlfn.XLOOKUP($D75,'Modelling New'!$D:$D,'Modelling New'!$AL:$AL),"")</f>
        <v>0.05</v>
      </c>
      <c r="AR75">
        <f>IFERROR(_xlfn.XLOOKUP($D75,'Modelling New'!$D:$D,'Modelling New'!$N:$N),"")</f>
        <v>78</v>
      </c>
    </row>
    <row r="76" spans="1:44">
      <c r="A76" s="134">
        <f t="shared" si="7"/>
        <v>45819</v>
      </c>
      <c r="B76" s="123">
        <f>YEAR(Table13[[#This Row],[Date]])+IF(MONTH(Table13[[#This Row],[Date]])&gt;=4,1,0)</f>
        <v>2026</v>
      </c>
      <c r="C76" s="121">
        <f>YEAR(Table13[[#This Row],[Date]])</f>
        <v>2025</v>
      </c>
      <c r="D76" s="135">
        <f>Table13[[#This Row],[Date]]-DAY(Table13[[#This Row],[Date]])+1</f>
        <v>45809</v>
      </c>
      <c r="E76" s="121">
        <f t="shared" si="4"/>
        <v>30</v>
      </c>
      <c r="F76" s="124"/>
      <c r="G76" s="125"/>
      <c r="H76" s="125"/>
      <c r="I76" s="125"/>
      <c r="J76" s="125"/>
      <c r="K76" s="136"/>
      <c r="L76" s="125"/>
      <c r="M76" s="125">
        <f>IFERROR(_xlfn.XLOOKUP($A76,Input_Raw!$A:$A,Input_Raw!CG:CG),"")</f>
        <v>4.8151282051282047</v>
      </c>
      <c r="N76" s="125">
        <f>IFERROR(_xlfn.XLOOKUP($A76,Input_Raw!$A:$A,Input_Raw!CH:CH),"")</f>
        <v>0</v>
      </c>
      <c r="O76" s="137">
        <f t="shared" si="6"/>
        <v>0.92611294248954634</v>
      </c>
      <c r="P76" s="137">
        <f>IFERROR(1-SUMIF(WTG_BD!$F:$F,$A76,WTG_BD!$AA:$AA)/($AA76+SUMIF(WTG_BD!$F:$F,$A76,WTG_BD!$AA:$AA)),"")</f>
        <v>0.92711967004872953</v>
      </c>
      <c r="Q76" s="138">
        <f>IFERROR(1-SUMIF(IGA_BD!$F:$F,$A76,IGA_BD!$V:$V)/($AA76+SUMIF(IGA_BD!$F:$F,$A76,IGA_BD!$V:$V)),"")</f>
        <v>0.99891413418169606</v>
      </c>
      <c r="R76" s="143">
        <f>IFERROR(1-SUMIF(Grid_BD!$F:$F,$A76,Grid_BD!$X:$X)/($AA76+SUMIF(Grid_BD!$F:$F,$A76,Grid_BD!$X:$X)),"")</f>
        <v>1</v>
      </c>
      <c r="S76" s="121"/>
      <c r="T76" s="138"/>
      <c r="U76" s="139"/>
      <c r="V76" s="121"/>
      <c r="W76" s="140">
        <f>IFERROR(Table13[[#This Row],[Mtr_Net_Exp (KWh)]]/(24*AR76*1000),"")</f>
        <v>0.258974358974359</v>
      </c>
      <c r="X76" s="121">
        <f>IFERROR(_xlfn.XLOOKUP($A76,Input_Raw!$A:$A,Input_Raw!$CF:$CF),"")</f>
        <v>491107</v>
      </c>
      <c r="Y76" s="121">
        <f>IFERROR(_xlfn.XLOOKUP($A76,Input_Raw!$A:$A,Input_Raw!$CZ:$CZ),"")</f>
        <v>484800</v>
      </c>
      <c r="Z76" s="121">
        <f>IFERROR(_xlfn.XLOOKUP($A76,Input_Raw!$A:$A,Input_Raw!$DA:$DA),"")</f>
        <v>0</v>
      </c>
      <c r="AA76" s="123">
        <f t="shared" si="5"/>
        <v>484800</v>
      </c>
      <c r="AB76" s="121">
        <f>IFERROR(_xlfn.XLOOKUP($A76,Input_Raw!$A:$A,Input_Raw!$DG:$DG),"")</f>
        <v>78</v>
      </c>
      <c r="AC76" s="141">
        <f>IFERROR(_xlfn.XLOOKUP($D76,'Modelling New'!$D:$D,'Modelling New'!$J:$J),"")</f>
        <v>6.5666666666666664</v>
      </c>
      <c r="AD76" s="123">
        <f>IFERROR(_xlfn.XLOOKUP($D76,'Modelling New'!$D:$D,'Modelling New'!$T:$T)*1000,"")</f>
        <v>501275.34211348038</v>
      </c>
      <c r="AE76" s="140"/>
      <c r="AF76" s="140">
        <f>IFERROR(_xlfn.XLOOKUP($D76,'Modelling New'!$D:$D,'Modelling New'!$W:$W),"")</f>
        <v>0.26777528959053443</v>
      </c>
      <c r="AG76" s="140">
        <f>IFERROR(_xlfn.XLOOKUP($D76,'Modelling New'!$D:$D,'Modelling New'!$AE:$AE),"")</f>
        <v>0.96029999999999993</v>
      </c>
      <c r="AH76" s="140">
        <f>IFERROR(_xlfn.XLOOKUP($D76,'Modelling New'!$D:$D,'Modelling New'!$AF:$AF),"")</f>
        <v>0.995</v>
      </c>
      <c r="AI76" s="121">
        <f>IFERROR(_xlfn.XLOOKUP($A76,Input_Raw!$A:$A,Input_Raw!$DE:$DE),"")</f>
        <v>491.1</v>
      </c>
      <c r="AJ76" s="121"/>
      <c r="AK76" s="121"/>
      <c r="AL76" s="121"/>
      <c r="AM76" s="121"/>
      <c r="AN76" s="142">
        <f>IFERROR(_xlfn.XLOOKUP($A76,Input_Raw!$A:$A,Input_Raw!$DB:$DB),"")</f>
        <v>1.2842415196688273E-2</v>
      </c>
      <c r="AO76" s="140">
        <f>IFERROR((_xlfn.XLOOKUP($A76,'WTG Reactive Power'!$A:$A,'WTG Reactive Power'!$AR:$AR))/X76/1000,"")</f>
        <v>2.4862199072707167E-6</v>
      </c>
      <c r="AP76" s="140">
        <f>IFERROR(_xlfn.XLOOKUP($D76,'Modelling New'!$D:$D,'Modelling New'!$AK:$AK),"")</f>
        <v>0.05</v>
      </c>
      <c r="AQ76" s="140">
        <f>IFERROR(_xlfn.XLOOKUP($D76,'Modelling New'!$D:$D,'Modelling New'!$AL:$AL),"")</f>
        <v>0.05</v>
      </c>
      <c r="AR76">
        <f>IFERROR(_xlfn.XLOOKUP($D76,'Modelling New'!$D:$D,'Modelling New'!$N:$N),"")</f>
        <v>78</v>
      </c>
    </row>
    <row r="77" spans="1:44">
      <c r="A77" s="134">
        <f t="shared" si="7"/>
        <v>45820</v>
      </c>
      <c r="B77" s="123">
        <f>YEAR(Table13[[#This Row],[Date]])+IF(MONTH(Table13[[#This Row],[Date]])&gt;=4,1,0)</f>
        <v>2026</v>
      </c>
      <c r="C77" s="121">
        <f>YEAR(Table13[[#This Row],[Date]])</f>
        <v>2025</v>
      </c>
      <c r="D77" s="135">
        <f>Table13[[#This Row],[Date]]-DAY(Table13[[#This Row],[Date]])+1</f>
        <v>45809</v>
      </c>
      <c r="E77" s="121">
        <f t="shared" si="4"/>
        <v>30</v>
      </c>
      <c r="F77" s="124"/>
      <c r="G77" s="125"/>
      <c r="H77" s="125"/>
      <c r="I77" s="125"/>
      <c r="J77" s="125"/>
      <c r="K77" s="136"/>
      <c r="L77" s="125"/>
      <c r="M77" s="125">
        <f>IFERROR(_xlfn.XLOOKUP($A77,Input_Raw!$A:$A,Input_Raw!CG:CG),"")</f>
        <v>4.6823076923076918</v>
      </c>
      <c r="N77" s="125">
        <f>IFERROR(_xlfn.XLOOKUP($A77,Input_Raw!$A:$A,Input_Raw!CH:CH),"")</f>
        <v>0</v>
      </c>
      <c r="O77" s="137">
        <f t="shared" si="6"/>
        <v>0.94319150358571413</v>
      </c>
      <c r="P77" s="137">
        <f>IFERROR(1-SUMIF(WTG_BD!$F:$F,$A77,WTG_BD!$AA:$AA)/($AA77+SUMIF(WTG_BD!$F:$F,$A77,WTG_BD!$AA:$AA)),"")</f>
        <v>0.94319150358571413</v>
      </c>
      <c r="Q77" s="138">
        <f>IFERROR(1-SUMIF(IGA_BD!$F:$F,$A77,IGA_BD!$V:$V)/($AA77+SUMIF(IGA_BD!$F:$F,$A77,IGA_BD!$V:$V)),"")</f>
        <v>1</v>
      </c>
      <c r="R77" s="143">
        <f>IFERROR(1-SUMIF(Grid_BD!$F:$F,$A77,Grid_BD!$X:$X)/($AA77+SUMIF(Grid_BD!$F:$F,$A77,Grid_BD!$X:$X)),"")</f>
        <v>1</v>
      </c>
      <c r="S77" s="121"/>
      <c r="T77" s="138"/>
      <c r="U77" s="139"/>
      <c r="V77" s="121"/>
      <c r="W77" s="140">
        <f>IFERROR(Table13[[#This Row],[Mtr_Net_Exp (KWh)]]/(24*AR77*1000),"")</f>
        <v>0.22435897435897437</v>
      </c>
      <c r="X77" s="121">
        <f>IFERROR(_xlfn.XLOOKUP($A77,Input_Raw!$A:$A,Input_Raw!$CF:$CF),"")</f>
        <v>428579</v>
      </c>
      <c r="Y77" s="121">
        <f>IFERROR(_xlfn.XLOOKUP($A77,Input_Raw!$A:$A,Input_Raw!$CZ:$CZ),"")</f>
        <v>422400</v>
      </c>
      <c r="Z77" s="121">
        <f>IFERROR(_xlfn.XLOOKUP($A77,Input_Raw!$A:$A,Input_Raw!$DA:$DA),"")</f>
        <v>2400</v>
      </c>
      <c r="AA77" s="123">
        <f t="shared" si="5"/>
        <v>420000</v>
      </c>
      <c r="AB77" s="121">
        <f>IFERROR(_xlfn.XLOOKUP($A77,Input_Raw!$A:$A,Input_Raw!$DG:$DG),"")</f>
        <v>78</v>
      </c>
      <c r="AC77" s="141">
        <f>IFERROR(_xlfn.XLOOKUP($D77,'Modelling New'!$D:$D,'Modelling New'!$J:$J),"")</f>
        <v>6.5666666666666664</v>
      </c>
      <c r="AD77" s="123">
        <f>IFERROR(_xlfn.XLOOKUP($D77,'Modelling New'!$D:$D,'Modelling New'!$T:$T)*1000,"")</f>
        <v>501275.34211348038</v>
      </c>
      <c r="AE77" s="140"/>
      <c r="AF77" s="140">
        <f>IFERROR(_xlfn.XLOOKUP($D77,'Modelling New'!$D:$D,'Modelling New'!$W:$W),"")</f>
        <v>0.26777528959053443</v>
      </c>
      <c r="AG77" s="140">
        <f>IFERROR(_xlfn.XLOOKUP($D77,'Modelling New'!$D:$D,'Modelling New'!$AE:$AE),"")</f>
        <v>0.96029999999999993</v>
      </c>
      <c r="AH77" s="140">
        <f>IFERROR(_xlfn.XLOOKUP($D77,'Modelling New'!$D:$D,'Modelling New'!$AF:$AF),"")</f>
        <v>0.995</v>
      </c>
      <c r="AI77" s="121">
        <f>IFERROR(_xlfn.XLOOKUP($A77,Input_Raw!$A:$A,Input_Raw!$DE:$DE),"")</f>
        <v>428.57</v>
      </c>
      <c r="AJ77" s="121"/>
      <c r="AK77" s="121"/>
      <c r="AL77" s="121"/>
      <c r="AM77" s="121"/>
      <c r="AN77" s="142">
        <f>IFERROR(_xlfn.XLOOKUP($A77,Input_Raw!$A:$A,Input_Raw!$DB:$DB),"")</f>
        <v>1.4417411959055437E-2</v>
      </c>
      <c r="AO77" s="140">
        <f>IFERROR((_xlfn.XLOOKUP($A77,'WTG Reactive Power'!$A:$A,'WTG Reactive Power'!$AR:$AR))/X77/1000,"")</f>
        <v>1.4072084726503166E-5</v>
      </c>
      <c r="AP77" s="140">
        <f>IFERROR(_xlfn.XLOOKUP($D77,'Modelling New'!$D:$D,'Modelling New'!$AK:$AK),"")</f>
        <v>0.05</v>
      </c>
      <c r="AQ77" s="140">
        <f>IFERROR(_xlfn.XLOOKUP($D77,'Modelling New'!$D:$D,'Modelling New'!$AL:$AL),"")</f>
        <v>0.05</v>
      </c>
      <c r="AR77">
        <f>IFERROR(_xlfn.XLOOKUP($D77,'Modelling New'!$D:$D,'Modelling New'!$N:$N),"")</f>
        <v>78</v>
      </c>
    </row>
    <row r="78" spans="1:44">
      <c r="A78" s="134">
        <f t="shared" si="7"/>
        <v>45821</v>
      </c>
      <c r="B78" s="123">
        <f>YEAR(Table13[[#This Row],[Date]])+IF(MONTH(Table13[[#This Row],[Date]])&gt;=4,1,0)</f>
        <v>2026</v>
      </c>
      <c r="C78" s="121">
        <f>YEAR(Table13[[#This Row],[Date]])</f>
        <v>2025</v>
      </c>
      <c r="D78" s="135">
        <f>Table13[[#This Row],[Date]]-DAY(Table13[[#This Row],[Date]])+1</f>
        <v>45809</v>
      </c>
      <c r="E78" s="121">
        <f t="shared" si="4"/>
        <v>30</v>
      </c>
      <c r="F78" s="124"/>
      <c r="G78" s="125"/>
      <c r="H78" s="125"/>
      <c r="I78" s="125"/>
      <c r="J78" s="125"/>
      <c r="K78" s="136"/>
      <c r="L78" s="125"/>
      <c r="M78" s="125">
        <f>IFERROR(_xlfn.XLOOKUP($A78,Input_Raw!$A:$A,Input_Raw!CG:CG),"")</f>
        <v>3.5474358974358982</v>
      </c>
      <c r="N78" s="125">
        <f>IFERROR(_xlfn.XLOOKUP($A78,Input_Raw!$A:$A,Input_Raw!CH:CH),"")</f>
        <v>0</v>
      </c>
      <c r="O78" s="137">
        <f t="shared" si="6"/>
        <v>0.93007496876807461</v>
      </c>
      <c r="P78" s="137">
        <f>IFERROR(1-SUMIF(WTG_BD!$F:$F,$A78,WTG_BD!$AA:$AA)/($AA78+SUMIF(WTG_BD!$F:$F,$A78,WTG_BD!$AA:$AA)),"")</f>
        <v>0.93388061260095523</v>
      </c>
      <c r="Q78" s="138">
        <f>IFERROR(1-SUMIF(IGA_BD!$F:$F,$A78,IGA_BD!$V:$V)/($AA78+SUMIF(IGA_BD!$F:$F,$A78,IGA_BD!$V:$V)),"")</f>
        <v>0.9959249139755868</v>
      </c>
      <c r="R78" s="143">
        <f>IFERROR(1-SUMIF(Grid_BD!$F:$F,$A78,Grid_BD!$X:$X)/($AA78+SUMIF(Grid_BD!$F:$F,$A78,Grid_BD!$X:$X)),"")</f>
        <v>1</v>
      </c>
      <c r="S78" s="121"/>
      <c r="T78" s="138"/>
      <c r="U78" s="139"/>
      <c r="V78" s="121"/>
      <c r="W78" s="140">
        <f>IFERROR(Table13[[#This Row],[Mtr_Net_Exp (KWh)]]/(24*AR78*1000),"")</f>
        <v>5.705128205128205E-2</v>
      </c>
      <c r="X78" s="121">
        <f>IFERROR(_xlfn.XLOOKUP($A78,Input_Raw!$A:$A,Input_Raw!$CF:$CF),"")</f>
        <v>116756</v>
      </c>
      <c r="Y78" s="121">
        <f>IFERROR(_xlfn.XLOOKUP($A78,Input_Raw!$A:$A,Input_Raw!$CZ:$CZ),"")</f>
        <v>112800</v>
      </c>
      <c r="Z78" s="121">
        <f>IFERROR(_xlfn.XLOOKUP($A78,Input_Raw!$A:$A,Input_Raw!$DA:$DA),"")</f>
        <v>6000</v>
      </c>
      <c r="AA78" s="123">
        <f t="shared" si="5"/>
        <v>106800</v>
      </c>
      <c r="AB78" s="121">
        <f>IFERROR(_xlfn.XLOOKUP($A78,Input_Raw!$A:$A,Input_Raw!$DG:$DG),"")</f>
        <v>78</v>
      </c>
      <c r="AC78" s="141">
        <f>IFERROR(_xlfn.XLOOKUP($D78,'Modelling New'!$D:$D,'Modelling New'!$J:$J),"")</f>
        <v>6.5666666666666664</v>
      </c>
      <c r="AD78" s="123">
        <f>IFERROR(_xlfn.XLOOKUP($D78,'Modelling New'!$D:$D,'Modelling New'!$T:$T)*1000,"")</f>
        <v>501275.34211348038</v>
      </c>
      <c r="AE78" s="140"/>
      <c r="AF78" s="140">
        <f>IFERROR(_xlfn.XLOOKUP($D78,'Modelling New'!$D:$D,'Modelling New'!$W:$W),"")</f>
        <v>0.26777528959053443</v>
      </c>
      <c r="AG78" s="140">
        <f>IFERROR(_xlfn.XLOOKUP($D78,'Modelling New'!$D:$D,'Modelling New'!$AE:$AE),"")</f>
        <v>0.96029999999999993</v>
      </c>
      <c r="AH78" s="140">
        <f>IFERROR(_xlfn.XLOOKUP($D78,'Modelling New'!$D:$D,'Modelling New'!$AF:$AF),"")</f>
        <v>0.995</v>
      </c>
      <c r="AI78" s="121">
        <f>IFERROR(_xlfn.XLOOKUP($A78,Input_Raw!$A:$A,Input_Raw!$DE:$DE),"")</f>
        <v>116.75</v>
      </c>
      <c r="AJ78" s="121"/>
      <c r="AK78" s="121"/>
      <c r="AL78" s="121"/>
      <c r="AM78" s="121"/>
      <c r="AN78" s="142">
        <f>IFERROR(_xlfn.XLOOKUP($A78,Input_Raw!$A:$A,Input_Raw!$DB:$DB),"")</f>
        <v>3.3882627017026934E-2</v>
      </c>
      <c r="AO78" s="140">
        <f>IFERROR((_xlfn.XLOOKUP($A78,'WTG Reactive Power'!$A:$A,'WTG Reactive Power'!$AR:$AR))/X78/1000,"")</f>
        <v>1.235910788310665E-4</v>
      </c>
      <c r="AP78" s="140">
        <f>IFERROR(_xlfn.XLOOKUP($D78,'Modelling New'!$D:$D,'Modelling New'!$AK:$AK),"")</f>
        <v>0.05</v>
      </c>
      <c r="AQ78" s="140">
        <f>IFERROR(_xlfn.XLOOKUP($D78,'Modelling New'!$D:$D,'Modelling New'!$AL:$AL),"")</f>
        <v>0.05</v>
      </c>
      <c r="AR78">
        <f>IFERROR(_xlfn.XLOOKUP($D78,'Modelling New'!$D:$D,'Modelling New'!$N:$N),"")</f>
        <v>78</v>
      </c>
    </row>
    <row r="79" spans="1:44">
      <c r="A79" s="134">
        <f t="shared" si="7"/>
        <v>45822</v>
      </c>
      <c r="B79" s="123">
        <f>YEAR(Table13[[#This Row],[Date]])+IF(MONTH(Table13[[#This Row],[Date]])&gt;=4,1,0)</f>
        <v>2026</v>
      </c>
      <c r="C79" s="121">
        <f>YEAR(Table13[[#This Row],[Date]])</f>
        <v>2025</v>
      </c>
      <c r="D79" s="135">
        <f>Table13[[#This Row],[Date]]-DAY(Table13[[#This Row],[Date]])+1</f>
        <v>45809</v>
      </c>
      <c r="E79" s="121">
        <f t="shared" si="4"/>
        <v>30</v>
      </c>
      <c r="F79" s="124"/>
      <c r="G79" s="125"/>
      <c r="H79" s="125"/>
      <c r="I79" s="125"/>
      <c r="J79" s="125"/>
      <c r="K79" s="136"/>
      <c r="L79" s="125"/>
      <c r="M79" s="125">
        <f>IFERROR(_xlfn.XLOOKUP($A79,Input_Raw!$A:$A,Input_Raw!CG:CG),"")</f>
        <v>3.4951282051282053</v>
      </c>
      <c r="N79" s="125">
        <f>IFERROR(_xlfn.XLOOKUP($A79,Input_Raw!$A:$A,Input_Raw!CH:CH),"")</f>
        <v>0</v>
      </c>
      <c r="O79" s="137">
        <f t="shared" si="6"/>
        <v>0.90459665436002923</v>
      </c>
      <c r="P79" s="137">
        <f>IFERROR(1-SUMIF(WTG_BD!$F:$F,$A79,WTG_BD!$AA:$AA)/($AA79+SUMIF(WTG_BD!$F:$F,$A79,WTG_BD!$AA:$AA)),"")</f>
        <v>0.90459665436002923</v>
      </c>
      <c r="Q79" s="138">
        <f>IFERROR(1-SUMIF(IGA_BD!$F:$F,$A79,IGA_BD!$V:$V)/($AA79+SUMIF(IGA_BD!$F:$F,$A79,IGA_BD!$V:$V)),"")</f>
        <v>1</v>
      </c>
      <c r="R79" s="143">
        <f>IFERROR(1-SUMIF(Grid_BD!$F:$F,$A79,Grid_BD!$X:$X)/($AA79+SUMIF(Grid_BD!$F:$F,$A79,Grid_BD!$X:$X)),"")</f>
        <v>1</v>
      </c>
      <c r="S79" s="121"/>
      <c r="T79" s="138"/>
      <c r="U79" s="139"/>
      <c r="V79" s="121"/>
      <c r="W79" s="140">
        <f>IFERROR(Table13[[#This Row],[Mtr_Net_Exp (KWh)]]/(24*AR79*1000),"")</f>
        <v>3.5256410256410256E-2</v>
      </c>
      <c r="X79" s="121">
        <f>IFERROR(_xlfn.XLOOKUP($A79,Input_Raw!$A:$A,Input_Raw!$CF:$CF),"")</f>
        <v>93389</v>
      </c>
      <c r="Y79" s="121">
        <f>IFERROR(_xlfn.XLOOKUP($A79,Input_Raw!$A:$A,Input_Raw!$CZ:$CZ),"")</f>
        <v>73200</v>
      </c>
      <c r="Z79" s="121">
        <f>IFERROR(_xlfn.XLOOKUP($A79,Input_Raw!$A:$A,Input_Raw!$DA:$DA),"")</f>
        <v>7200</v>
      </c>
      <c r="AA79" s="123">
        <f t="shared" si="5"/>
        <v>66000</v>
      </c>
      <c r="AB79" s="121">
        <f>IFERROR(_xlfn.XLOOKUP($A79,Input_Raw!$A:$A,Input_Raw!$DG:$DG),"")</f>
        <v>78</v>
      </c>
      <c r="AC79" s="141">
        <f>IFERROR(_xlfn.XLOOKUP($D79,'Modelling New'!$D:$D,'Modelling New'!$J:$J),"")</f>
        <v>6.5666666666666664</v>
      </c>
      <c r="AD79" s="123">
        <f>IFERROR(_xlfn.XLOOKUP($D79,'Modelling New'!$D:$D,'Modelling New'!$T:$T)*1000,"")</f>
        <v>501275.34211348038</v>
      </c>
      <c r="AE79" s="140"/>
      <c r="AF79" s="140">
        <f>IFERROR(_xlfn.XLOOKUP($D79,'Modelling New'!$D:$D,'Modelling New'!$W:$W),"")</f>
        <v>0.26777528959053443</v>
      </c>
      <c r="AG79" s="140">
        <f>IFERROR(_xlfn.XLOOKUP($D79,'Modelling New'!$D:$D,'Modelling New'!$AE:$AE),"")</f>
        <v>0.96029999999999993</v>
      </c>
      <c r="AH79" s="140">
        <f>IFERROR(_xlfn.XLOOKUP($D79,'Modelling New'!$D:$D,'Modelling New'!$AF:$AF),"")</f>
        <v>0.995</v>
      </c>
      <c r="AI79" s="121">
        <f>IFERROR(_xlfn.XLOOKUP($A79,Input_Raw!$A:$A,Input_Raw!$DE:$DE),"")</f>
        <v>76.680000000000007</v>
      </c>
      <c r="AJ79" s="121"/>
      <c r="AK79" s="121"/>
      <c r="AL79" s="121"/>
      <c r="AM79" s="121"/>
      <c r="AN79" s="142">
        <f>IFERROR(_xlfn.XLOOKUP($A79,Input_Raw!$A:$A,Input_Raw!$DB:$DB),"")</f>
        <v>0.21618177729711208</v>
      </c>
      <c r="AO79" s="140">
        <f>IFERROR((_xlfn.XLOOKUP($A79,'WTG Reactive Power'!$A:$A,'WTG Reactive Power'!$AR:$AR))/X79/1000,"")</f>
        <v>1.8734540470505091E-4</v>
      </c>
      <c r="AP79" s="140">
        <f>IFERROR(_xlfn.XLOOKUP($D79,'Modelling New'!$D:$D,'Modelling New'!$AK:$AK),"")</f>
        <v>0.05</v>
      </c>
      <c r="AQ79" s="140">
        <f>IFERROR(_xlfn.XLOOKUP($D79,'Modelling New'!$D:$D,'Modelling New'!$AL:$AL),"")</f>
        <v>0.05</v>
      </c>
      <c r="AR79">
        <f>IFERROR(_xlfn.XLOOKUP($D79,'Modelling New'!$D:$D,'Modelling New'!$N:$N),"")</f>
        <v>78</v>
      </c>
    </row>
    <row r="80" spans="1:44">
      <c r="A80" s="134">
        <f t="shared" si="7"/>
        <v>45823</v>
      </c>
      <c r="B80" s="123">
        <f>YEAR(Table13[[#This Row],[Date]])+IF(MONTH(Table13[[#This Row],[Date]])&gt;=4,1,0)</f>
        <v>2026</v>
      </c>
      <c r="C80" s="121">
        <f>YEAR(Table13[[#This Row],[Date]])</f>
        <v>2025</v>
      </c>
      <c r="D80" s="135">
        <f>Table13[[#This Row],[Date]]-DAY(Table13[[#This Row],[Date]])+1</f>
        <v>45809</v>
      </c>
      <c r="E80" s="121">
        <f t="shared" si="4"/>
        <v>30</v>
      </c>
      <c r="F80" s="124"/>
      <c r="G80" s="125"/>
      <c r="H80" s="125"/>
      <c r="I80" s="125"/>
      <c r="J80" s="125"/>
      <c r="K80" s="136"/>
      <c r="L80" s="125"/>
      <c r="M80" s="125">
        <f>IFERROR(_xlfn.XLOOKUP($A80,Input_Raw!$A:$A,Input_Raw!CG:CG),"")</f>
        <v>4.056923076923078</v>
      </c>
      <c r="N80" s="125">
        <f>IFERROR(_xlfn.XLOOKUP($A80,Input_Raw!$A:$A,Input_Raw!CH:CH),"")</f>
        <v>0</v>
      </c>
      <c r="O80" s="137">
        <f t="shared" si="6"/>
        <v>0.91368886363783774</v>
      </c>
      <c r="P80" s="137">
        <f>IFERROR(1-SUMIF(WTG_BD!$F:$F,$A80,WTG_BD!$AA:$AA)/($AA80+SUMIF(WTG_BD!$F:$F,$A80,WTG_BD!$AA:$AA)),"")</f>
        <v>0.91368886363783774</v>
      </c>
      <c r="Q80" s="138">
        <f>IFERROR(1-SUMIF(IGA_BD!$F:$F,$A80,IGA_BD!$V:$V)/($AA80+SUMIF(IGA_BD!$F:$F,$A80,IGA_BD!$V:$V)),"")</f>
        <v>1</v>
      </c>
      <c r="R80" s="143">
        <f>IFERROR(1-SUMIF(Grid_BD!$F:$F,$A80,Grid_BD!$X:$X)/($AA80+SUMIF(Grid_BD!$F:$F,$A80,Grid_BD!$X:$X)),"")</f>
        <v>1</v>
      </c>
      <c r="S80" s="121"/>
      <c r="T80" s="138"/>
      <c r="U80" s="139"/>
      <c r="V80" s="121"/>
      <c r="W80" s="140">
        <f>IFERROR(Table13[[#This Row],[Mtr_Net_Exp (KWh)]]/(24*AR80*1000),"")</f>
        <v>0.15192307692307691</v>
      </c>
      <c r="X80" s="121">
        <f>IFERROR(_xlfn.XLOOKUP($A80,Input_Raw!$A:$A,Input_Raw!$CF:$CF),"")</f>
        <v>318458</v>
      </c>
      <c r="Y80" s="121">
        <f>IFERROR(_xlfn.XLOOKUP($A80,Input_Raw!$A:$A,Input_Raw!$CZ:$CZ),"")</f>
        <v>284400</v>
      </c>
      <c r="Z80" s="121">
        <f>IFERROR(_xlfn.XLOOKUP($A80,Input_Raw!$A:$A,Input_Raw!$DA:$DA),"")</f>
        <v>0</v>
      </c>
      <c r="AA80" s="123">
        <f t="shared" si="5"/>
        <v>284400</v>
      </c>
      <c r="AB80" s="121">
        <f>IFERROR(_xlfn.XLOOKUP($A80,Input_Raw!$A:$A,Input_Raw!$DG:$DG),"")</f>
        <v>78</v>
      </c>
      <c r="AC80" s="141">
        <f>IFERROR(_xlfn.XLOOKUP($D80,'Modelling New'!$D:$D,'Modelling New'!$J:$J),"")</f>
        <v>6.5666666666666664</v>
      </c>
      <c r="AD80" s="123">
        <f>IFERROR(_xlfn.XLOOKUP($D80,'Modelling New'!$D:$D,'Modelling New'!$T:$T)*1000,"")</f>
        <v>501275.34211348038</v>
      </c>
      <c r="AE80" s="140"/>
      <c r="AF80" s="140">
        <f>IFERROR(_xlfn.XLOOKUP($D80,'Modelling New'!$D:$D,'Modelling New'!$W:$W),"")</f>
        <v>0.26777528959053443</v>
      </c>
      <c r="AG80" s="140">
        <f>IFERROR(_xlfn.XLOOKUP($D80,'Modelling New'!$D:$D,'Modelling New'!$AE:$AE),"")</f>
        <v>0.96029999999999993</v>
      </c>
      <c r="AH80" s="140">
        <f>IFERROR(_xlfn.XLOOKUP($D80,'Modelling New'!$D:$D,'Modelling New'!$AF:$AF),"")</f>
        <v>0.995</v>
      </c>
      <c r="AI80" s="121">
        <f>IFERROR(_xlfn.XLOOKUP($A80,Input_Raw!$A:$A,Input_Raw!$DE:$DE),"")</f>
        <v>287.89999999999998</v>
      </c>
      <c r="AJ80" s="121"/>
      <c r="AK80" s="121"/>
      <c r="AL80" s="121"/>
      <c r="AM80" s="121"/>
      <c r="AN80" s="142">
        <f>IFERROR(_xlfn.XLOOKUP($A80,Input_Raw!$A:$A,Input_Raw!$DB:$DB),"")</f>
        <v>0.10694659892356295</v>
      </c>
      <c r="AO80" s="140">
        <f>IFERROR((_xlfn.XLOOKUP($A80,'WTG Reactive Power'!$A:$A,'WTG Reactive Power'!$AR:$AR))/X80/1000,"")</f>
        <v>7.3479077303757483E-6</v>
      </c>
      <c r="AP80" s="140">
        <f>IFERROR(_xlfn.XLOOKUP($D80,'Modelling New'!$D:$D,'Modelling New'!$AK:$AK),"")</f>
        <v>0.05</v>
      </c>
      <c r="AQ80" s="140">
        <f>IFERROR(_xlfn.XLOOKUP($D80,'Modelling New'!$D:$D,'Modelling New'!$AL:$AL),"")</f>
        <v>0.05</v>
      </c>
      <c r="AR80">
        <f>IFERROR(_xlfn.XLOOKUP($D80,'Modelling New'!$D:$D,'Modelling New'!$N:$N),"")</f>
        <v>78</v>
      </c>
    </row>
    <row r="81" spans="1:44">
      <c r="A81" s="134">
        <f t="shared" si="7"/>
        <v>45824</v>
      </c>
      <c r="B81" s="123">
        <f>YEAR(Table13[[#This Row],[Date]])+IF(MONTH(Table13[[#This Row],[Date]])&gt;=4,1,0)</f>
        <v>2026</v>
      </c>
      <c r="C81" s="121">
        <f>YEAR(Table13[[#This Row],[Date]])</f>
        <v>2025</v>
      </c>
      <c r="D81" s="135">
        <f>Table13[[#This Row],[Date]]-DAY(Table13[[#This Row],[Date]])+1</f>
        <v>45809</v>
      </c>
      <c r="E81" s="121">
        <f t="shared" si="4"/>
        <v>30</v>
      </c>
      <c r="F81" s="124"/>
      <c r="G81" s="125"/>
      <c r="H81" s="125"/>
      <c r="I81" s="125"/>
      <c r="J81" s="125"/>
      <c r="K81" s="136"/>
      <c r="L81" s="125"/>
      <c r="M81" s="125">
        <f>IFERROR(_xlfn.XLOOKUP($A81,Input_Raw!$A:$A,Input_Raw!CG:CG),"")</f>
        <v>6.9443589743589742</v>
      </c>
      <c r="N81" s="125">
        <f>IFERROR(_xlfn.XLOOKUP($A81,Input_Raw!$A:$A,Input_Raw!CH:CH),"")</f>
        <v>0</v>
      </c>
      <c r="O81" s="137">
        <f t="shared" si="6"/>
        <v>0.92250740047545288</v>
      </c>
      <c r="P81" s="137">
        <f>IFERROR(1-SUMIF(WTG_BD!$F:$F,$A81,WTG_BD!$AA:$AA)/($AA81+SUMIF(WTG_BD!$F:$F,$A81,WTG_BD!$AA:$AA)),"")</f>
        <v>0.92313237720855523</v>
      </c>
      <c r="Q81" s="138">
        <f>IFERROR(1-SUMIF(IGA_BD!$F:$F,$A81,IGA_BD!$V:$V)/($AA81+SUMIF(IGA_BD!$F:$F,$A81,IGA_BD!$V:$V)),"")</f>
        <v>0.99932298254450547</v>
      </c>
      <c r="R81" s="143">
        <f>IFERROR(1-SUMIF(Grid_BD!$F:$F,$A81,Grid_BD!$X:$X)/($AA81+SUMIF(Grid_BD!$F:$F,$A81,Grid_BD!$X:$X)),"")</f>
        <v>1</v>
      </c>
      <c r="S81" s="121"/>
      <c r="T81" s="138"/>
      <c r="U81" s="139"/>
      <c r="V81" s="121"/>
      <c r="W81" s="140">
        <f>IFERROR(Table13[[#This Row],[Mtr_Net_Exp (KWh)]]/(24*AR81*1000),"")</f>
        <v>0.42499999999999999</v>
      </c>
      <c r="X81" s="121">
        <f>IFERROR(_xlfn.XLOOKUP($A81,Input_Raw!$A:$A,Input_Raw!$CF:$CF),"")</f>
        <v>810773</v>
      </c>
      <c r="Y81" s="121">
        <f>IFERROR(_xlfn.XLOOKUP($A81,Input_Raw!$A:$A,Input_Raw!$CZ:$CZ),"")</f>
        <v>795600</v>
      </c>
      <c r="Z81" s="121">
        <f>IFERROR(_xlfn.XLOOKUP($A81,Input_Raw!$A:$A,Input_Raw!$DA:$DA),"")</f>
        <v>0</v>
      </c>
      <c r="AA81" s="123">
        <f t="shared" si="5"/>
        <v>795600</v>
      </c>
      <c r="AB81" s="121">
        <f>IFERROR(_xlfn.XLOOKUP($A81,Input_Raw!$A:$A,Input_Raw!$DG:$DG),"")</f>
        <v>78</v>
      </c>
      <c r="AC81" s="141">
        <f>IFERROR(_xlfn.XLOOKUP($D81,'Modelling New'!$D:$D,'Modelling New'!$J:$J),"")</f>
        <v>6.5666666666666664</v>
      </c>
      <c r="AD81" s="123">
        <f>IFERROR(_xlfn.XLOOKUP($D81,'Modelling New'!$D:$D,'Modelling New'!$T:$T)*1000,"")</f>
        <v>501275.34211348038</v>
      </c>
      <c r="AE81" s="140"/>
      <c r="AF81" s="140">
        <f>IFERROR(_xlfn.XLOOKUP($D81,'Modelling New'!$D:$D,'Modelling New'!$W:$W),"")</f>
        <v>0.26777528959053443</v>
      </c>
      <c r="AG81" s="140">
        <f>IFERROR(_xlfn.XLOOKUP($D81,'Modelling New'!$D:$D,'Modelling New'!$AE:$AE),"")</f>
        <v>0.96029999999999993</v>
      </c>
      <c r="AH81" s="140">
        <f>IFERROR(_xlfn.XLOOKUP($D81,'Modelling New'!$D:$D,'Modelling New'!$AF:$AF),"")</f>
        <v>0.995</v>
      </c>
      <c r="AI81" s="121">
        <f>IFERROR(_xlfn.XLOOKUP($A81,Input_Raw!$A:$A,Input_Raw!$DE:$DE),"")</f>
        <v>799.17</v>
      </c>
      <c r="AJ81" s="121"/>
      <c r="AK81" s="121"/>
      <c r="AL81" s="121"/>
      <c r="AM81" s="121"/>
      <c r="AN81" s="142">
        <f>IFERROR(_xlfn.XLOOKUP($A81,Input_Raw!$A:$A,Input_Raw!$DB:$DB),"")</f>
        <v>1.8714239374029495E-2</v>
      </c>
      <c r="AO81" s="140">
        <f>IFERROR((_xlfn.XLOOKUP($A81,'WTG Reactive Power'!$A:$A,'WTG Reactive Power'!$AR:$AR))/X81/1000,"")</f>
        <v>1.4208662597299121E-6</v>
      </c>
      <c r="AP81" s="140">
        <f>IFERROR(_xlfn.XLOOKUP($D81,'Modelling New'!$D:$D,'Modelling New'!$AK:$AK),"")</f>
        <v>0.05</v>
      </c>
      <c r="AQ81" s="140">
        <f>IFERROR(_xlfn.XLOOKUP($D81,'Modelling New'!$D:$D,'Modelling New'!$AL:$AL),"")</f>
        <v>0.05</v>
      </c>
      <c r="AR81">
        <f>IFERROR(_xlfn.XLOOKUP($D81,'Modelling New'!$D:$D,'Modelling New'!$N:$N),"")</f>
        <v>78</v>
      </c>
    </row>
    <row r="82" spans="1:44">
      <c r="A82" s="134">
        <f t="shared" si="7"/>
        <v>45825</v>
      </c>
      <c r="B82" s="123">
        <f>YEAR(Table13[[#This Row],[Date]])+IF(MONTH(Table13[[#This Row],[Date]])&gt;=4,1,0)</f>
        <v>2026</v>
      </c>
      <c r="C82" s="121">
        <f>YEAR(Table13[[#This Row],[Date]])</f>
        <v>2025</v>
      </c>
      <c r="D82" s="135">
        <f>Table13[[#This Row],[Date]]-DAY(Table13[[#This Row],[Date]])+1</f>
        <v>45809</v>
      </c>
      <c r="E82" s="121">
        <f t="shared" si="4"/>
        <v>30</v>
      </c>
      <c r="F82" s="124"/>
      <c r="G82" s="125"/>
      <c r="H82" s="125"/>
      <c r="I82" s="125"/>
      <c r="J82" s="125"/>
      <c r="K82" s="136"/>
      <c r="L82" s="125"/>
      <c r="M82" s="125">
        <f>IFERROR(_xlfn.XLOOKUP($A82,Input_Raw!$A:$A,Input_Raw!CG:CG),"")</f>
        <v>7.9797435897435909</v>
      </c>
      <c r="N82" s="125">
        <f>IFERROR(_xlfn.XLOOKUP($A82,Input_Raw!$A:$A,Input_Raw!CH:CH),"")</f>
        <v>0</v>
      </c>
      <c r="O82" s="137">
        <f t="shared" si="6"/>
        <v>0.90629316650623959</v>
      </c>
      <c r="P82" s="137">
        <f>IFERROR(1-SUMIF(WTG_BD!$F:$F,$A82,WTG_BD!$AA:$AA)/($AA82+SUMIF(WTG_BD!$F:$F,$A82,WTG_BD!$AA:$AA)),"")</f>
        <v>0.90629316650623959</v>
      </c>
      <c r="Q82" s="138">
        <f>IFERROR(1-SUMIF(IGA_BD!$F:$F,$A82,IGA_BD!$V:$V)/($AA82+SUMIF(IGA_BD!$F:$F,$A82,IGA_BD!$V:$V)),"")</f>
        <v>1</v>
      </c>
      <c r="R82" s="143">
        <f>IFERROR(1-SUMIF(Grid_BD!$F:$F,$A82,Grid_BD!$X:$X)/($AA82+SUMIF(Grid_BD!$F:$F,$A82,Grid_BD!$X:$X)),"")</f>
        <v>1</v>
      </c>
      <c r="S82" s="121"/>
      <c r="T82" s="138"/>
      <c r="U82" s="139"/>
      <c r="V82" s="121"/>
      <c r="W82" s="140">
        <f>IFERROR(Table13[[#This Row],[Mtr_Net_Exp (KWh)]]/(24*AR82*1000),"")</f>
        <v>0.47884615384615387</v>
      </c>
      <c r="X82" s="121">
        <f>IFERROR(_xlfn.XLOOKUP($A82,Input_Raw!$A:$A,Input_Raw!$CF:$CF),"")</f>
        <v>911743</v>
      </c>
      <c r="Y82" s="121">
        <f>IFERROR(_xlfn.XLOOKUP($A82,Input_Raw!$A:$A,Input_Raw!$CZ:$CZ),"")</f>
        <v>896400</v>
      </c>
      <c r="Z82" s="121">
        <f>IFERROR(_xlfn.XLOOKUP($A82,Input_Raw!$A:$A,Input_Raw!$DA:$DA),"")</f>
        <v>0</v>
      </c>
      <c r="AA82" s="123">
        <f t="shared" si="5"/>
        <v>896400</v>
      </c>
      <c r="AB82" s="121">
        <f>IFERROR(_xlfn.XLOOKUP($A82,Input_Raw!$A:$A,Input_Raw!$DG:$DG),"")</f>
        <v>78</v>
      </c>
      <c r="AC82" s="141">
        <f>IFERROR(_xlfn.XLOOKUP($D82,'Modelling New'!$D:$D,'Modelling New'!$J:$J),"")</f>
        <v>6.5666666666666664</v>
      </c>
      <c r="AD82" s="123">
        <f>IFERROR(_xlfn.XLOOKUP($D82,'Modelling New'!$D:$D,'Modelling New'!$T:$T)*1000,"")</f>
        <v>501275.34211348038</v>
      </c>
      <c r="AE82" s="140"/>
      <c r="AF82" s="140">
        <f>IFERROR(_xlfn.XLOOKUP($D82,'Modelling New'!$D:$D,'Modelling New'!$W:$W),"")</f>
        <v>0.26777528959053443</v>
      </c>
      <c r="AG82" s="140">
        <f>IFERROR(_xlfn.XLOOKUP($D82,'Modelling New'!$D:$D,'Modelling New'!$AE:$AE),"")</f>
        <v>0.96029999999999993</v>
      </c>
      <c r="AH82" s="140">
        <f>IFERROR(_xlfn.XLOOKUP($D82,'Modelling New'!$D:$D,'Modelling New'!$AF:$AF),"")</f>
        <v>0.995</v>
      </c>
      <c r="AI82" s="121">
        <f>IFERROR(_xlfn.XLOOKUP($A82,Input_Raw!$A:$A,Input_Raw!$DE:$DE),"")</f>
        <v>900.13</v>
      </c>
      <c r="AJ82" s="121"/>
      <c r="AK82" s="121"/>
      <c r="AL82" s="121"/>
      <c r="AM82" s="121"/>
      <c r="AN82" s="142">
        <f>IFERROR(_xlfn.XLOOKUP($A82,Input_Raw!$A:$A,Input_Raw!$DB:$DB),"")</f>
        <v>1.6828207071510337E-2</v>
      </c>
      <c r="AO82" s="140">
        <f>IFERROR((_xlfn.XLOOKUP($A82,'WTG Reactive Power'!$A:$A,'WTG Reactive Power'!$AR:$AR))/X82/1000,"")</f>
        <v>0</v>
      </c>
      <c r="AP82" s="140">
        <f>IFERROR(_xlfn.XLOOKUP($D82,'Modelling New'!$D:$D,'Modelling New'!$AK:$AK),"")</f>
        <v>0.05</v>
      </c>
      <c r="AQ82" s="140">
        <f>IFERROR(_xlfn.XLOOKUP($D82,'Modelling New'!$D:$D,'Modelling New'!$AL:$AL),"")</f>
        <v>0.05</v>
      </c>
      <c r="AR82">
        <f>IFERROR(_xlfn.XLOOKUP($D82,'Modelling New'!$D:$D,'Modelling New'!$N:$N),"")</f>
        <v>78</v>
      </c>
    </row>
    <row r="83" spans="1:44">
      <c r="A83" s="134">
        <f t="shared" si="7"/>
        <v>45826</v>
      </c>
      <c r="B83" s="123">
        <f>YEAR(Table13[[#This Row],[Date]])+IF(MONTH(Table13[[#This Row],[Date]])&gt;=4,1,0)</f>
        <v>2026</v>
      </c>
      <c r="C83" s="121">
        <f>YEAR(Table13[[#This Row],[Date]])</f>
        <v>2025</v>
      </c>
      <c r="D83" s="135">
        <f>Table13[[#This Row],[Date]]-DAY(Table13[[#This Row],[Date]])+1</f>
        <v>45809</v>
      </c>
      <c r="E83" s="121">
        <f t="shared" si="4"/>
        <v>30</v>
      </c>
      <c r="F83" s="124"/>
      <c r="G83" s="125"/>
      <c r="H83" s="125"/>
      <c r="I83" s="125"/>
      <c r="J83" s="125"/>
      <c r="K83" s="136"/>
      <c r="L83" s="125"/>
      <c r="M83" s="125">
        <f>IFERROR(_xlfn.XLOOKUP($A83,Input_Raw!$A:$A,Input_Raw!CG:CG),"")</f>
        <v>9.8669230769230776</v>
      </c>
      <c r="N83" s="125">
        <f>IFERROR(_xlfn.XLOOKUP($A83,Input_Raw!$A:$A,Input_Raw!CH:CH),"")</f>
        <v>0</v>
      </c>
      <c r="O83" s="137">
        <f t="shared" si="6"/>
        <v>0.914124657231699</v>
      </c>
      <c r="P83" s="137">
        <f>IFERROR(1-SUMIF(WTG_BD!$F:$F,$A83,WTG_BD!$AA:$AA)/($AA83+SUMIF(WTG_BD!$F:$F,$A83,WTG_BD!$AA:$AA)),"")</f>
        <v>0.91495189934795107</v>
      </c>
      <c r="Q83" s="138">
        <f>IFERROR(1-SUMIF(IGA_BD!$F:$F,$A83,IGA_BD!$V:$V)/($AA83+SUMIF(IGA_BD!$F:$F,$A83,IGA_BD!$V:$V)),"")</f>
        <v>0.99909586272585305</v>
      </c>
      <c r="R83" s="143">
        <f>IFERROR(1-SUMIF(Grid_BD!$F:$F,$A83,Grid_BD!$X:$X)/($AA83+SUMIF(Grid_BD!$F:$F,$A83,Grid_BD!$X:$X)),"")</f>
        <v>1</v>
      </c>
      <c r="S83" s="121"/>
      <c r="T83" s="138"/>
      <c r="U83" s="139"/>
      <c r="V83" s="121"/>
      <c r="W83" s="140">
        <f>IFERROR(Table13[[#This Row],[Mtr_Net_Exp (KWh)]]/(24*AR83*1000),"")</f>
        <v>0.55192307692307696</v>
      </c>
      <c r="X83" s="121">
        <f>IFERROR(_xlfn.XLOOKUP($A83,Input_Raw!$A:$A,Input_Raw!$CF:$CF),"")</f>
        <v>1048241</v>
      </c>
      <c r="Y83" s="121">
        <f>IFERROR(_xlfn.XLOOKUP($A83,Input_Raw!$A:$A,Input_Raw!$CZ:$CZ),"")</f>
        <v>1033200</v>
      </c>
      <c r="Z83" s="121">
        <f>IFERROR(_xlfn.XLOOKUP($A83,Input_Raw!$A:$A,Input_Raw!$DA:$DA),"")</f>
        <v>0</v>
      </c>
      <c r="AA83" s="123">
        <f t="shared" si="5"/>
        <v>1033200</v>
      </c>
      <c r="AB83" s="121">
        <f>IFERROR(_xlfn.XLOOKUP($A83,Input_Raw!$A:$A,Input_Raw!$DG:$DG),"")</f>
        <v>78</v>
      </c>
      <c r="AC83" s="141">
        <f>IFERROR(_xlfn.XLOOKUP($D83,'Modelling New'!$D:$D,'Modelling New'!$J:$J),"")</f>
        <v>6.5666666666666664</v>
      </c>
      <c r="AD83" s="123">
        <f>IFERROR(_xlfn.XLOOKUP($D83,'Modelling New'!$D:$D,'Modelling New'!$T:$T)*1000,"")</f>
        <v>501275.34211348038</v>
      </c>
      <c r="AE83" s="140"/>
      <c r="AF83" s="140">
        <f>IFERROR(_xlfn.XLOOKUP($D83,'Modelling New'!$D:$D,'Modelling New'!$W:$W),"")</f>
        <v>0.26777528959053443</v>
      </c>
      <c r="AG83" s="140">
        <f>IFERROR(_xlfn.XLOOKUP($D83,'Modelling New'!$D:$D,'Modelling New'!$AE:$AE),"")</f>
        <v>0.96029999999999993</v>
      </c>
      <c r="AH83" s="140">
        <f>IFERROR(_xlfn.XLOOKUP($D83,'Modelling New'!$D:$D,'Modelling New'!$AF:$AF),"")</f>
        <v>0.995</v>
      </c>
      <c r="AI83" s="121">
        <f>IFERROR(_xlfn.XLOOKUP($A83,Input_Raw!$A:$A,Input_Raw!$DE:$DE),"")</f>
        <v>1036.6400000000001</v>
      </c>
      <c r="AJ83" s="121"/>
      <c r="AK83" s="121"/>
      <c r="AL83" s="121"/>
      <c r="AM83" s="121"/>
      <c r="AN83" s="142">
        <f>IFERROR(_xlfn.XLOOKUP($A83,Input_Raw!$A:$A,Input_Raw!$DB:$DB),"")</f>
        <v>1.4348799560406467E-2</v>
      </c>
      <c r="AO83" s="140">
        <f>IFERROR((_xlfn.XLOOKUP($A83,'WTG Reactive Power'!$A:$A,'WTG Reactive Power'!$AR:$AR))/X83/1000,"")</f>
        <v>0</v>
      </c>
      <c r="AP83" s="140">
        <f>IFERROR(_xlfn.XLOOKUP($D83,'Modelling New'!$D:$D,'Modelling New'!$AK:$AK),"")</f>
        <v>0.05</v>
      </c>
      <c r="AQ83" s="140">
        <f>IFERROR(_xlfn.XLOOKUP($D83,'Modelling New'!$D:$D,'Modelling New'!$AL:$AL),"")</f>
        <v>0.05</v>
      </c>
      <c r="AR83">
        <f>IFERROR(_xlfn.XLOOKUP($D83,'Modelling New'!$D:$D,'Modelling New'!$N:$N),"")</f>
        <v>78</v>
      </c>
    </row>
    <row r="84" spans="1:44">
      <c r="A84" s="134">
        <f t="shared" si="7"/>
        <v>45827</v>
      </c>
      <c r="B84" s="123">
        <f>YEAR(Table13[[#This Row],[Date]])+IF(MONTH(Table13[[#This Row],[Date]])&gt;=4,1,0)</f>
        <v>2026</v>
      </c>
      <c r="C84" s="121">
        <f>YEAR(Table13[[#This Row],[Date]])</f>
        <v>2025</v>
      </c>
      <c r="D84" s="135">
        <f>Table13[[#This Row],[Date]]-DAY(Table13[[#This Row],[Date]])+1</f>
        <v>45809</v>
      </c>
      <c r="E84" s="121">
        <f t="shared" si="4"/>
        <v>30</v>
      </c>
      <c r="F84" s="124"/>
      <c r="G84" s="125"/>
      <c r="H84" s="125"/>
      <c r="I84" s="125"/>
      <c r="J84" s="125"/>
      <c r="K84" s="136"/>
      <c r="L84" s="125"/>
      <c r="M84" s="125">
        <f>IFERROR(_xlfn.XLOOKUP($A84,Input_Raw!$A:$A,Input_Raw!CG:CG),"")</f>
        <v>7.5602564102564127</v>
      </c>
      <c r="N84" s="125">
        <f>IFERROR(_xlfn.XLOOKUP($A84,Input_Raw!$A:$A,Input_Raw!CH:CH),"")</f>
        <v>0</v>
      </c>
      <c r="O84" s="137">
        <f t="shared" si="6"/>
        <v>0.91458023341298278</v>
      </c>
      <c r="P84" s="137">
        <f>IFERROR(1-SUMIF(WTG_BD!$F:$F,$A84,WTG_BD!$AA:$AA)/($AA84+SUMIF(WTG_BD!$F:$F,$A84,WTG_BD!$AA:$AA)),"")</f>
        <v>0.91458023341298278</v>
      </c>
      <c r="Q84" s="138">
        <f>IFERROR(1-SUMIF(IGA_BD!$F:$F,$A84,IGA_BD!$V:$V)/($AA84+SUMIF(IGA_BD!$F:$F,$A84,IGA_BD!$V:$V)),"")</f>
        <v>1</v>
      </c>
      <c r="R84" s="143">
        <f>IFERROR(1-SUMIF(Grid_BD!$F:$F,$A84,Grid_BD!$X:$X)/($AA84+SUMIF(Grid_BD!$F:$F,$A84,Grid_BD!$X:$X)),"")</f>
        <v>1</v>
      </c>
      <c r="S84" s="121"/>
      <c r="T84" s="138"/>
      <c r="U84" s="139"/>
      <c r="V84" s="121"/>
      <c r="W84" s="140">
        <f>IFERROR(Table13[[#This Row],[Mtr_Net_Exp (KWh)]]/(24*AR84*1000),"")</f>
        <v>0.491025641025641</v>
      </c>
      <c r="X84" s="121">
        <f>IFERROR(_xlfn.XLOOKUP($A84,Input_Raw!$A:$A,Input_Raw!$CF:$CF),"")</f>
        <v>933641</v>
      </c>
      <c r="Y84" s="121">
        <f>IFERROR(_xlfn.XLOOKUP($A84,Input_Raw!$A:$A,Input_Raw!$CZ:$CZ),"")</f>
        <v>919200</v>
      </c>
      <c r="Z84" s="121">
        <f>IFERROR(_xlfn.XLOOKUP($A84,Input_Raw!$A:$A,Input_Raw!$DA:$DA),"")</f>
        <v>0</v>
      </c>
      <c r="AA84" s="123">
        <f t="shared" si="5"/>
        <v>919200</v>
      </c>
      <c r="AB84" s="121">
        <f>IFERROR(_xlfn.XLOOKUP($A84,Input_Raw!$A:$A,Input_Raw!$DG:$DG),"")</f>
        <v>78</v>
      </c>
      <c r="AC84" s="141">
        <f>IFERROR(_xlfn.XLOOKUP($D84,'Modelling New'!$D:$D,'Modelling New'!$J:$J),"")</f>
        <v>6.5666666666666664</v>
      </c>
      <c r="AD84" s="123">
        <f>IFERROR(_xlfn.XLOOKUP($D84,'Modelling New'!$D:$D,'Modelling New'!$T:$T)*1000,"")</f>
        <v>501275.34211348038</v>
      </c>
      <c r="AE84" s="140"/>
      <c r="AF84" s="140">
        <f>IFERROR(_xlfn.XLOOKUP($D84,'Modelling New'!$D:$D,'Modelling New'!$W:$W),"")</f>
        <v>0.26777528959053443</v>
      </c>
      <c r="AG84" s="140">
        <f>IFERROR(_xlfn.XLOOKUP($D84,'Modelling New'!$D:$D,'Modelling New'!$AE:$AE),"")</f>
        <v>0.96029999999999993</v>
      </c>
      <c r="AH84" s="140">
        <f>IFERROR(_xlfn.XLOOKUP($D84,'Modelling New'!$D:$D,'Modelling New'!$AF:$AF),"")</f>
        <v>0.995</v>
      </c>
      <c r="AI84" s="121">
        <f>IFERROR(_xlfn.XLOOKUP($A84,Input_Raw!$A:$A,Input_Raw!$DE:$DE),"")</f>
        <v>922.04</v>
      </c>
      <c r="AJ84" s="121"/>
      <c r="AK84" s="121"/>
      <c r="AL84" s="121"/>
      <c r="AM84" s="121"/>
      <c r="AN84" s="142">
        <f>IFERROR(_xlfn.XLOOKUP($A84,Input_Raw!$A:$A,Input_Raw!$DB:$DB),"")</f>
        <v>1.5467401281648918E-2</v>
      </c>
      <c r="AO84" s="140">
        <f>IFERROR((_xlfn.XLOOKUP($A84,'WTG Reactive Power'!$A:$A,'WTG Reactive Power'!$AR:$AR))/X84/1000,"")</f>
        <v>0</v>
      </c>
      <c r="AP84" s="140">
        <f>IFERROR(_xlfn.XLOOKUP($D84,'Modelling New'!$D:$D,'Modelling New'!$AK:$AK),"")</f>
        <v>0.05</v>
      </c>
      <c r="AQ84" s="140">
        <f>IFERROR(_xlfn.XLOOKUP($D84,'Modelling New'!$D:$D,'Modelling New'!$AL:$AL),"")</f>
        <v>0.05</v>
      </c>
      <c r="AR84">
        <f>IFERROR(_xlfn.XLOOKUP($D84,'Modelling New'!$D:$D,'Modelling New'!$N:$N),"")</f>
        <v>78</v>
      </c>
    </row>
    <row r="85" spans="1:44">
      <c r="A85" s="134">
        <f t="shared" si="7"/>
        <v>45828</v>
      </c>
      <c r="B85" s="123">
        <f>YEAR(Table13[[#This Row],[Date]])+IF(MONTH(Table13[[#This Row],[Date]])&gt;=4,1,0)</f>
        <v>2026</v>
      </c>
      <c r="C85" s="121">
        <f>YEAR(Table13[[#This Row],[Date]])</f>
        <v>2025</v>
      </c>
      <c r="D85" s="135">
        <f>Table13[[#This Row],[Date]]-DAY(Table13[[#This Row],[Date]])+1</f>
        <v>45809</v>
      </c>
      <c r="E85" s="121">
        <f t="shared" si="4"/>
        <v>30</v>
      </c>
      <c r="F85" s="124"/>
      <c r="G85" s="125"/>
      <c r="H85" s="125"/>
      <c r="I85" s="125"/>
      <c r="J85" s="125"/>
      <c r="K85" s="136"/>
      <c r="L85" s="125"/>
      <c r="M85" s="125">
        <f>IFERROR(_xlfn.XLOOKUP($A85,Input_Raw!$A:$A,Input_Raw!CG:CG),"")</f>
        <v>9.1527367782697269</v>
      </c>
      <c r="N85" s="125">
        <f>IFERROR(_xlfn.XLOOKUP($A85,Input_Raw!$A:$A,Input_Raw!CH:CH),"")</f>
        <v>0</v>
      </c>
      <c r="O85" s="137">
        <f t="shared" si="6"/>
        <v>0.92082120437964154</v>
      </c>
      <c r="P85" s="137">
        <f>IFERROR(1-SUMIF(WTG_BD!$F:$F,$A85,WTG_BD!$AA:$AA)/($AA85+SUMIF(WTG_BD!$F:$F,$A85,WTG_BD!$AA:$AA)),"")</f>
        <v>0.92082120437964154</v>
      </c>
      <c r="Q85" s="138">
        <f>IFERROR(1-SUMIF(IGA_BD!$F:$F,$A85,IGA_BD!$V:$V)/($AA85+SUMIF(IGA_BD!$F:$F,$A85,IGA_BD!$V:$V)),"")</f>
        <v>1</v>
      </c>
      <c r="R85" s="143">
        <f>IFERROR(1-SUMIF(Grid_BD!$F:$F,$A85,Grid_BD!$X:$X)/($AA85+SUMIF(Grid_BD!$F:$F,$A85,Grid_BD!$X:$X)),"")</f>
        <v>1</v>
      </c>
      <c r="S85" s="121"/>
      <c r="T85" s="138"/>
      <c r="U85" s="139"/>
      <c r="V85" s="121"/>
      <c r="W85" s="140">
        <f>IFERROR(Table13[[#This Row],[Mtr_Net_Exp (KWh)]]/(24*AR85*1000),"")</f>
        <v>0.54743589743589749</v>
      </c>
      <c r="X85" s="121">
        <f>IFERROR(_xlfn.XLOOKUP($A85,Input_Raw!$A:$A,Input_Raw!$CF:$CF),"")</f>
        <v>1039356</v>
      </c>
      <c r="Y85" s="121">
        <f>IFERROR(_xlfn.XLOOKUP($A85,Input_Raw!$A:$A,Input_Raw!$CZ:$CZ),"")</f>
        <v>1024800</v>
      </c>
      <c r="Z85" s="121">
        <f>IFERROR(_xlfn.XLOOKUP($A85,Input_Raw!$A:$A,Input_Raw!$DA:$DA),"")</f>
        <v>0</v>
      </c>
      <c r="AA85" s="123">
        <f t="shared" si="5"/>
        <v>1024800</v>
      </c>
      <c r="AB85" s="121">
        <f>IFERROR(_xlfn.XLOOKUP($A85,Input_Raw!$A:$A,Input_Raw!$DG:$DG),"")</f>
        <v>78</v>
      </c>
      <c r="AC85" s="141">
        <f>IFERROR(_xlfn.XLOOKUP($D85,'Modelling New'!$D:$D,'Modelling New'!$J:$J),"")</f>
        <v>6.5666666666666664</v>
      </c>
      <c r="AD85" s="123">
        <f>IFERROR(_xlfn.XLOOKUP($D85,'Modelling New'!$D:$D,'Modelling New'!$T:$T)*1000,"")</f>
        <v>501275.34211348038</v>
      </c>
      <c r="AE85" s="140"/>
      <c r="AF85" s="140">
        <f>IFERROR(_xlfn.XLOOKUP($D85,'Modelling New'!$D:$D,'Modelling New'!$W:$W),"")</f>
        <v>0.26777528959053443</v>
      </c>
      <c r="AG85" s="140">
        <f>IFERROR(_xlfn.XLOOKUP($D85,'Modelling New'!$D:$D,'Modelling New'!$AE:$AE),"")</f>
        <v>0.96029999999999993</v>
      </c>
      <c r="AH85" s="140">
        <f>IFERROR(_xlfn.XLOOKUP($D85,'Modelling New'!$D:$D,'Modelling New'!$AF:$AF),"")</f>
        <v>0.995</v>
      </c>
      <c r="AI85" s="121">
        <f>IFERROR(_xlfn.XLOOKUP($A85,Input_Raw!$A:$A,Input_Raw!$DE:$DE),"")</f>
        <v>1027.75</v>
      </c>
      <c r="AJ85" s="121"/>
      <c r="AK85" s="121"/>
      <c r="AL85" s="121"/>
      <c r="AM85" s="121"/>
      <c r="AN85" s="142">
        <f>IFERROR(_xlfn.XLOOKUP($A85,Input_Raw!$A:$A,Input_Raw!$DB:$DB),"")</f>
        <v>1.4004826065371234E-2</v>
      </c>
      <c r="AO85" s="140">
        <f>IFERROR((_xlfn.XLOOKUP($A85,'WTG Reactive Power'!$A:$A,'WTG Reactive Power'!$AR:$AR))/X85/1000,"")</f>
        <v>0</v>
      </c>
      <c r="AP85" s="140">
        <f>IFERROR(_xlfn.XLOOKUP($D85,'Modelling New'!$D:$D,'Modelling New'!$AK:$AK),"")</f>
        <v>0.05</v>
      </c>
      <c r="AQ85" s="140">
        <f>IFERROR(_xlfn.XLOOKUP($D85,'Modelling New'!$D:$D,'Modelling New'!$AL:$AL),"")</f>
        <v>0.05</v>
      </c>
      <c r="AR85">
        <f>IFERROR(_xlfn.XLOOKUP($D85,'Modelling New'!$D:$D,'Modelling New'!$N:$N),"")</f>
        <v>78</v>
      </c>
    </row>
    <row r="86" spans="1:44">
      <c r="A86" s="134">
        <f t="shared" si="7"/>
        <v>45829</v>
      </c>
      <c r="B86" s="123">
        <f>YEAR(Table13[[#This Row],[Date]])+IF(MONTH(Table13[[#This Row],[Date]])&gt;=4,1,0)</f>
        <v>2026</v>
      </c>
      <c r="C86" s="121">
        <f>YEAR(Table13[[#This Row],[Date]])</f>
        <v>2025</v>
      </c>
      <c r="D86" s="135">
        <f>Table13[[#This Row],[Date]]-DAY(Table13[[#This Row],[Date]])+1</f>
        <v>45809</v>
      </c>
      <c r="E86" s="121">
        <f t="shared" si="4"/>
        <v>30</v>
      </c>
      <c r="F86" s="124"/>
      <c r="G86" s="125"/>
      <c r="H86" s="125"/>
      <c r="I86" s="125"/>
      <c r="J86" s="125"/>
      <c r="K86" s="136"/>
      <c r="L86" s="125"/>
      <c r="M86" s="125">
        <f>IFERROR(_xlfn.XLOOKUP($A86,Input_Raw!$A:$A,Input_Raw!CG:CG),"")</f>
        <v>8.5607414696975752</v>
      </c>
      <c r="N86" s="125">
        <f>IFERROR(_xlfn.XLOOKUP($A86,Input_Raw!$A:$A,Input_Raw!CH:CH),"")</f>
        <v>0</v>
      </c>
      <c r="O86" s="137">
        <f t="shared" si="6"/>
        <v>0.90797855457935417</v>
      </c>
      <c r="P86" s="137">
        <f>IFERROR(1-SUMIF(WTG_BD!$F:$F,$A86,WTG_BD!$AA:$AA)/($AA86+SUMIF(WTG_BD!$F:$F,$A86,WTG_BD!$AA:$AA)),"")</f>
        <v>0.90797855457935417</v>
      </c>
      <c r="Q86" s="138">
        <f>IFERROR(1-SUMIF(IGA_BD!$F:$F,$A86,IGA_BD!$V:$V)/($AA86+SUMIF(IGA_BD!$F:$F,$A86,IGA_BD!$V:$V)),"")</f>
        <v>1</v>
      </c>
      <c r="R86" s="143">
        <f>IFERROR(1-SUMIF(Grid_BD!$F:$F,$A86,Grid_BD!$X:$X)/($AA86+SUMIF(Grid_BD!$F:$F,$A86,Grid_BD!$X:$X)),"")</f>
        <v>1</v>
      </c>
      <c r="S86" s="121"/>
      <c r="T86" s="138"/>
      <c r="U86" s="139"/>
      <c r="V86" s="121"/>
      <c r="W86" s="140">
        <f>IFERROR(Table13[[#This Row],[Mtr_Net_Exp (KWh)]]/(24*AR86*1000),"")</f>
        <v>0.50576923076923075</v>
      </c>
      <c r="X86" s="121">
        <f>IFERROR(_xlfn.XLOOKUP($A86,Input_Raw!$A:$A,Input_Raw!$CF:$CF),"")</f>
        <v>961356</v>
      </c>
      <c r="Y86" s="121">
        <f>IFERROR(_xlfn.XLOOKUP($A86,Input_Raw!$A:$A,Input_Raw!$CZ:$CZ),"")</f>
        <v>946800</v>
      </c>
      <c r="Z86" s="121">
        <f>IFERROR(_xlfn.XLOOKUP($A86,Input_Raw!$A:$A,Input_Raw!$DA:$DA),"")</f>
        <v>0</v>
      </c>
      <c r="AA86" s="123">
        <f t="shared" si="5"/>
        <v>946800</v>
      </c>
      <c r="AB86" s="121">
        <f>IFERROR(_xlfn.XLOOKUP($A86,Input_Raw!$A:$A,Input_Raw!$DG:$DG),"")</f>
        <v>78</v>
      </c>
      <c r="AC86" s="141">
        <f>IFERROR(_xlfn.XLOOKUP($D86,'Modelling New'!$D:$D,'Modelling New'!$J:$J),"")</f>
        <v>6.5666666666666664</v>
      </c>
      <c r="AD86" s="123">
        <f>IFERROR(_xlfn.XLOOKUP($D86,'Modelling New'!$D:$D,'Modelling New'!$T:$T)*1000,"")</f>
        <v>501275.34211348038</v>
      </c>
      <c r="AE86" s="140"/>
      <c r="AF86" s="140">
        <f>IFERROR(_xlfn.XLOOKUP($D86,'Modelling New'!$D:$D,'Modelling New'!$W:$W),"")</f>
        <v>0.26777528959053443</v>
      </c>
      <c r="AG86" s="140">
        <f>IFERROR(_xlfn.XLOOKUP($D86,'Modelling New'!$D:$D,'Modelling New'!$AE:$AE),"")</f>
        <v>0.96029999999999993</v>
      </c>
      <c r="AH86" s="140">
        <f>IFERROR(_xlfn.XLOOKUP($D86,'Modelling New'!$D:$D,'Modelling New'!$AF:$AF),"")</f>
        <v>0.995</v>
      </c>
      <c r="AI86" s="121">
        <f>IFERROR(_xlfn.XLOOKUP($A86,Input_Raw!$A:$A,Input_Raw!$DE:$DE),"")</f>
        <v>949.75</v>
      </c>
      <c r="AJ86" s="121"/>
      <c r="AK86" s="121"/>
      <c r="AL86" s="121"/>
      <c r="AM86" s="121"/>
      <c r="AN86" s="142">
        <f>IFERROR(_xlfn.XLOOKUP($A86,Input_Raw!$A:$A,Input_Raw!$DB:$DB),"")</f>
        <v>1.5141113177636556E-2</v>
      </c>
      <c r="AO86" s="140">
        <f>IFERROR((_xlfn.XLOOKUP($A86,'WTG Reactive Power'!$A:$A,'WTG Reactive Power'!$AR:$AR))/X86/1000,"")</f>
        <v>0</v>
      </c>
      <c r="AP86" s="140">
        <f>IFERROR(_xlfn.XLOOKUP($D86,'Modelling New'!$D:$D,'Modelling New'!$AK:$AK),"")</f>
        <v>0.05</v>
      </c>
      <c r="AQ86" s="140">
        <f>IFERROR(_xlfn.XLOOKUP($D86,'Modelling New'!$D:$D,'Modelling New'!$AL:$AL),"")</f>
        <v>0.05</v>
      </c>
      <c r="AR86">
        <f>IFERROR(_xlfn.XLOOKUP($D86,'Modelling New'!$D:$D,'Modelling New'!$N:$N),"")</f>
        <v>78</v>
      </c>
    </row>
    <row r="87" spans="1:44">
      <c r="A87" s="134">
        <f t="shared" si="7"/>
        <v>45830</v>
      </c>
      <c r="B87" s="123">
        <f>YEAR(Table13[[#This Row],[Date]])+IF(MONTH(Table13[[#This Row],[Date]])&gt;=4,1,0)</f>
        <v>2026</v>
      </c>
      <c r="C87" s="121">
        <f>YEAR(Table13[[#This Row],[Date]])</f>
        <v>2025</v>
      </c>
      <c r="D87" s="135">
        <f>Table13[[#This Row],[Date]]-DAY(Table13[[#This Row],[Date]])+1</f>
        <v>45809</v>
      </c>
      <c r="E87" s="121">
        <f t="shared" si="4"/>
        <v>30</v>
      </c>
      <c r="F87" s="124"/>
      <c r="G87" s="125"/>
      <c r="H87" s="125"/>
      <c r="I87" s="125"/>
      <c r="J87" s="125"/>
      <c r="K87" s="136"/>
      <c r="L87" s="125"/>
      <c r="M87" s="125">
        <f>IFERROR(_xlfn.XLOOKUP($A87,Input_Raw!$A:$A,Input_Raw!CG:CG),"")</f>
        <v>7.9797435897435909</v>
      </c>
      <c r="N87" s="125">
        <f>IFERROR(_xlfn.XLOOKUP($A87,Input_Raw!$A:$A,Input_Raw!CH:CH),"")</f>
        <v>0</v>
      </c>
      <c r="O87" s="137">
        <f t="shared" si="6"/>
        <v>0.91681072322066393</v>
      </c>
      <c r="P87" s="137">
        <f>IFERROR(1-SUMIF(WTG_BD!$F:$F,$A87,WTG_BD!$AA:$AA)/($AA87+SUMIF(WTG_BD!$F:$F,$A87,WTG_BD!$AA:$AA)),"")</f>
        <v>0.91681072322066393</v>
      </c>
      <c r="Q87" s="138">
        <f>IFERROR(1-SUMIF(IGA_BD!$F:$F,$A87,IGA_BD!$V:$V)/($AA87+SUMIF(IGA_BD!$F:$F,$A87,IGA_BD!$V:$V)),"")</f>
        <v>1</v>
      </c>
      <c r="R87" s="143">
        <f>IFERROR(1-SUMIF(Grid_BD!$F:$F,$A87,Grid_BD!$X:$X)/($AA87+SUMIF(Grid_BD!$F:$F,$A87,Grid_BD!$X:$X)),"")</f>
        <v>1</v>
      </c>
      <c r="S87" s="121"/>
      <c r="T87" s="138"/>
      <c r="U87" s="139"/>
      <c r="V87" s="121"/>
      <c r="W87" s="140">
        <f>IFERROR(Table13[[#This Row],[Mtr_Net_Exp (KWh)]]/(24*AR87*1000),"")</f>
        <v>0.48910256410256409</v>
      </c>
      <c r="X87" s="121">
        <f>IFERROR(_xlfn.XLOOKUP($A87,Input_Raw!$A:$A,Input_Raw!$CF:$CF),"")</f>
        <v>930291</v>
      </c>
      <c r="Y87" s="121">
        <f>IFERROR(_xlfn.XLOOKUP($A87,Input_Raw!$A:$A,Input_Raw!$CZ:$CZ),"")</f>
        <v>915600</v>
      </c>
      <c r="Z87" s="121">
        <f>IFERROR(_xlfn.XLOOKUP($A87,Input_Raw!$A:$A,Input_Raw!$DA:$DA),"")</f>
        <v>0</v>
      </c>
      <c r="AA87" s="123">
        <f t="shared" si="5"/>
        <v>915600</v>
      </c>
      <c r="AB87" s="121">
        <f>IFERROR(_xlfn.XLOOKUP($A87,Input_Raw!$A:$A,Input_Raw!$DG:$DG),"")</f>
        <v>78</v>
      </c>
      <c r="AC87" s="141">
        <f>IFERROR(_xlfn.XLOOKUP($D87,'Modelling New'!$D:$D,'Modelling New'!$J:$J),"")</f>
        <v>6.5666666666666664</v>
      </c>
      <c r="AD87" s="123">
        <f>IFERROR(_xlfn.XLOOKUP($D87,'Modelling New'!$D:$D,'Modelling New'!$T:$T)*1000,"")</f>
        <v>501275.34211348038</v>
      </c>
      <c r="AE87" s="140"/>
      <c r="AF87" s="140">
        <f>IFERROR(_xlfn.XLOOKUP($D87,'Modelling New'!$D:$D,'Modelling New'!$W:$W),"")</f>
        <v>0.26777528959053443</v>
      </c>
      <c r="AG87" s="140">
        <f>IFERROR(_xlfn.XLOOKUP($D87,'Modelling New'!$D:$D,'Modelling New'!$AE:$AE),"")</f>
        <v>0.96029999999999993</v>
      </c>
      <c r="AH87" s="140">
        <f>IFERROR(_xlfn.XLOOKUP($D87,'Modelling New'!$D:$D,'Modelling New'!$AF:$AF),"")</f>
        <v>0.995</v>
      </c>
      <c r="AI87" s="121">
        <f>IFERROR(_xlfn.XLOOKUP($A87,Input_Raw!$A:$A,Input_Raw!$DE:$DE),"")</f>
        <v>918.69</v>
      </c>
      <c r="AJ87" s="121"/>
      <c r="AK87" s="121"/>
      <c r="AL87" s="121"/>
      <c r="AM87" s="121"/>
      <c r="AN87" s="142">
        <f>IFERROR(_xlfn.XLOOKUP($A87,Input_Raw!$A:$A,Input_Raw!$DB:$DB),"")</f>
        <v>1.5791832878099488E-2</v>
      </c>
      <c r="AO87" s="140">
        <f>IFERROR((_xlfn.XLOOKUP($A87,'WTG Reactive Power'!$A:$A,'WTG Reactive Power'!$AR:$AR))/X87/1000,"")</f>
        <v>0</v>
      </c>
      <c r="AP87" s="140">
        <f>IFERROR(_xlfn.XLOOKUP($D87,'Modelling New'!$D:$D,'Modelling New'!$AK:$AK),"")</f>
        <v>0.05</v>
      </c>
      <c r="AQ87" s="140">
        <f>IFERROR(_xlfn.XLOOKUP($D87,'Modelling New'!$D:$D,'Modelling New'!$AL:$AL),"")</f>
        <v>0.05</v>
      </c>
      <c r="AR87">
        <f>IFERROR(_xlfn.XLOOKUP($D87,'Modelling New'!$D:$D,'Modelling New'!$N:$N),"")</f>
        <v>78</v>
      </c>
    </row>
    <row r="88" spans="1:44">
      <c r="A88" s="134">
        <f t="shared" si="7"/>
        <v>45831</v>
      </c>
      <c r="B88" s="123">
        <f>YEAR(Table13[[#This Row],[Date]])+IF(MONTH(Table13[[#This Row],[Date]])&gt;=4,1,0)</f>
        <v>2026</v>
      </c>
      <c r="C88" s="121">
        <f>YEAR(Table13[[#This Row],[Date]])</f>
        <v>2025</v>
      </c>
      <c r="D88" s="135">
        <f>Table13[[#This Row],[Date]]-DAY(Table13[[#This Row],[Date]])+1</f>
        <v>45809</v>
      </c>
      <c r="E88" s="121">
        <f t="shared" si="4"/>
        <v>30</v>
      </c>
      <c r="F88" s="124"/>
      <c r="G88" s="125"/>
      <c r="H88" s="125"/>
      <c r="I88" s="125"/>
      <c r="J88" s="125"/>
      <c r="K88" s="136"/>
      <c r="L88" s="125"/>
      <c r="M88" s="125">
        <f>IFERROR(_xlfn.XLOOKUP($A88,Input_Raw!$A:$A,Input_Raw!CG:CG),"")</f>
        <v>8.6466945508751873</v>
      </c>
      <c r="N88" s="125">
        <f>IFERROR(_xlfn.XLOOKUP($A88,Input_Raw!$A:$A,Input_Raw!CH:CH),"")</f>
        <v>0</v>
      </c>
      <c r="O88" s="137">
        <f t="shared" si="6"/>
        <v>0.91791788332252244</v>
      </c>
      <c r="P88" s="137">
        <f>IFERROR(1-SUMIF(WTG_BD!$F:$F,$A88,WTG_BD!$AA:$AA)/($AA88+SUMIF(WTG_BD!$F:$F,$A88,WTG_BD!$AA:$AA)),"")</f>
        <v>0.91791788332252244</v>
      </c>
      <c r="Q88" s="138">
        <f>IFERROR(1-SUMIF(IGA_BD!$F:$F,$A88,IGA_BD!$V:$V)/($AA88+SUMIF(IGA_BD!$F:$F,$A88,IGA_BD!$V:$V)),"")</f>
        <v>1</v>
      </c>
      <c r="R88" s="143">
        <f>IFERROR(1-SUMIF(Grid_BD!$F:$F,$A88,Grid_BD!$X:$X)/($AA88+SUMIF(Grid_BD!$F:$F,$A88,Grid_BD!$X:$X)),"")</f>
        <v>1</v>
      </c>
      <c r="S88" s="121"/>
      <c r="T88" s="138"/>
      <c r="U88" s="139"/>
      <c r="V88" s="121"/>
      <c r="W88" s="140">
        <f>IFERROR(Table13[[#This Row],[Mtr_Net_Exp (KWh)]]/(24*AR88*1000),"")</f>
        <v>0.58910256410256412</v>
      </c>
      <c r="X88" s="121">
        <f>IFERROR(_xlfn.XLOOKUP($A88,Input_Raw!$A:$A,Input_Raw!$CF:$CF),"")</f>
        <v>1117630</v>
      </c>
      <c r="Y88" s="121">
        <f>IFERROR(_xlfn.XLOOKUP($A88,Input_Raw!$A:$A,Input_Raw!$CZ:$CZ),"")</f>
        <v>1102800</v>
      </c>
      <c r="Z88" s="121">
        <f>IFERROR(_xlfn.XLOOKUP($A88,Input_Raw!$A:$A,Input_Raw!$DA:$DA),"")</f>
        <v>0</v>
      </c>
      <c r="AA88" s="123">
        <f t="shared" si="5"/>
        <v>1102800</v>
      </c>
      <c r="AB88" s="121">
        <f>IFERROR(_xlfn.XLOOKUP($A88,Input_Raw!$A:$A,Input_Raw!$DG:$DG),"")</f>
        <v>78</v>
      </c>
      <c r="AC88" s="141">
        <f>IFERROR(_xlfn.XLOOKUP($D88,'Modelling New'!$D:$D,'Modelling New'!$J:$J),"")</f>
        <v>6.5666666666666664</v>
      </c>
      <c r="AD88" s="123">
        <f>IFERROR(_xlfn.XLOOKUP($D88,'Modelling New'!$D:$D,'Modelling New'!$T:$T)*1000,"")</f>
        <v>501275.34211348038</v>
      </c>
      <c r="AE88" s="140"/>
      <c r="AF88" s="140">
        <f>IFERROR(_xlfn.XLOOKUP($D88,'Modelling New'!$D:$D,'Modelling New'!$W:$W),"")</f>
        <v>0.26777528959053443</v>
      </c>
      <c r="AG88" s="140">
        <f>IFERROR(_xlfn.XLOOKUP($D88,'Modelling New'!$D:$D,'Modelling New'!$AE:$AE),"")</f>
        <v>0.96029999999999993</v>
      </c>
      <c r="AH88" s="140">
        <f>IFERROR(_xlfn.XLOOKUP($D88,'Modelling New'!$D:$D,'Modelling New'!$AF:$AF),"")</f>
        <v>0.995</v>
      </c>
      <c r="AI88" s="121">
        <f>IFERROR(_xlfn.XLOOKUP($A88,Input_Raw!$A:$A,Input_Raw!$DE:$DE),"")</f>
        <v>1106.03</v>
      </c>
      <c r="AJ88" s="121"/>
      <c r="AK88" s="121"/>
      <c r="AL88" s="121"/>
      <c r="AM88" s="121"/>
      <c r="AN88" s="142">
        <f>IFERROR(_xlfn.XLOOKUP($A88,Input_Raw!$A:$A,Input_Raw!$DB:$DB),"")</f>
        <v>1.3269149897551014E-2</v>
      </c>
      <c r="AO88" s="140">
        <f>IFERROR((_xlfn.XLOOKUP($A88,'WTG Reactive Power'!$A:$A,'WTG Reactive Power'!$AR:$AR))/X88/1000,"")</f>
        <v>0</v>
      </c>
      <c r="AP88" s="140">
        <f>IFERROR(_xlfn.XLOOKUP($D88,'Modelling New'!$D:$D,'Modelling New'!$AK:$AK),"")</f>
        <v>0.05</v>
      </c>
      <c r="AQ88" s="140">
        <f>IFERROR(_xlfn.XLOOKUP($D88,'Modelling New'!$D:$D,'Modelling New'!$AL:$AL),"")</f>
        <v>0.05</v>
      </c>
      <c r="AR88">
        <f>IFERROR(_xlfn.XLOOKUP($D88,'Modelling New'!$D:$D,'Modelling New'!$N:$N),"")</f>
        <v>78</v>
      </c>
    </row>
    <row r="89" spans="1:44">
      <c r="A89" s="134">
        <f t="shared" si="7"/>
        <v>45832</v>
      </c>
      <c r="B89" s="123">
        <f>YEAR(Table13[[#This Row],[Date]])+IF(MONTH(Table13[[#This Row],[Date]])&gt;=4,1,0)</f>
        <v>2026</v>
      </c>
      <c r="C89" s="121">
        <f>YEAR(Table13[[#This Row],[Date]])</f>
        <v>2025</v>
      </c>
      <c r="D89" s="135">
        <f>Table13[[#This Row],[Date]]-DAY(Table13[[#This Row],[Date]])+1</f>
        <v>45809</v>
      </c>
      <c r="E89" s="121">
        <f t="shared" si="4"/>
        <v>30</v>
      </c>
      <c r="F89" s="124"/>
      <c r="G89" s="125"/>
      <c r="H89" s="125"/>
      <c r="I89" s="125"/>
      <c r="J89" s="125"/>
      <c r="K89" s="136"/>
      <c r="L89" s="125"/>
      <c r="M89" s="125">
        <f>IFERROR(_xlfn.XLOOKUP($A89,Input_Raw!$A:$A,Input_Raw!CG:CG),"")</f>
        <v>7.7648717948717962</v>
      </c>
      <c r="N89" s="125">
        <f>IFERROR(_xlfn.XLOOKUP($A89,Input_Raw!$A:$A,Input_Raw!CH:CH),"")</f>
        <v>0</v>
      </c>
      <c r="O89" s="137">
        <f t="shared" si="6"/>
        <v>0.9190030020214357</v>
      </c>
      <c r="P89" s="137">
        <f>IFERROR(1-SUMIF(WTG_BD!$F:$F,$A89,WTG_BD!$AA:$AA)/($AA89+SUMIF(WTG_BD!$F:$F,$A89,WTG_BD!$AA:$AA)),"")</f>
        <v>0.9190030020214357</v>
      </c>
      <c r="Q89" s="138">
        <f>IFERROR(1-SUMIF(IGA_BD!$F:$F,$A89,IGA_BD!$V:$V)/($AA89+SUMIF(IGA_BD!$F:$F,$A89,IGA_BD!$V:$V)),"")</f>
        <v>1</v>
      </c>
      <c r="R89" s="143">
        <f>IFERROR(1-SUMIF(Grid_BD!$F:$F,$A89,Grid_BD!$X:$X)/($AA89+SUMIF(Grid_BD!$F:$F,$A89,Grid_BD!$X:$X)),"")</f>
        <v>1</v>
      </c>
      <c r="S89" s="121"/>
      <c r="T89" s="138"/>
      <c r="U89" s="139"/>
      <c r="V89" s="121"/>
      <c r="W89" s="140">
        <f>IFERROR(Table13[[#This Row],[Mtr_Net_Exp (KWh)]]/(24*AR89*1000),"")</f>
        <v>0.56987179487179485</v>
      </c>
      <c r="X89" s="121">
        <f>IFERROR(_xlfn.XLOOKUP($A89,Input_Raw!$A:$A,Input_Raw!$CF:$CF),"")</f>
        <v>1081503</v>
      </c>
      <c r="Y89" s="121">
        <f>IFERROR(_xlfn.XLOOKUP($A89,Input_Raw!$A:$A,Input_Raw!$CZ:$CZ),"")</f>
        <v>1066800</v>
      </c>
      <c r="Z89" s="121">
        <f>IFERROR(_xlfn.XLOOKUP($A89,Input_Raw!$A:$A,Input_Raw!$DA:$DA),"")</f>
        <v>0</v>
      </c>
      <c r="AA89" s="123">
        <f t="shared" si="5"/>
        <v>1066800</v>
      </c>
      <c r="AB89" s="121">
        <f>IFERROR(_xlfn.XLOOKUP($A89,Input_Raw!$A:$A,Input_Raw!$DG:$DG),"")</f>
        <v>78</v>
      </c>
      <c r="AC89" s="141">
        <f>IFERROR(_xlfn.XLOOKUP($D89,'Modelling New'!$D:$D,'Modelling New'!$J:$J),"")</f>
        <v>6.5666666666666664</v>
      </c>
      <c r="AD89" s="123">
        <f>IFERROR(_xlfn.XLOOKUP($D89,'Modelling New'!$D:$D,'Modelling New'!$T:$T)*1000,"")</f>
        <v>501275.34211348038</v>
      </c>
      <c r="AE89" s="140"/>
      <c r="AF89" s="140">
        <f>IFERROR(_xlfn.XLOOKUP($D89,'Modelling New'!$D:$D,'Modelling New'!$W:$W),"")</f>
        <v>0.26777528959053443</v>
      </c>
      <c r="AG89" s="140">
        <f>IFERROR(_xlfn.XLOOKUP($D89,'Modelling New'!$D:$D,'Modelling New'!$AE:$AE),"")</f>
        <v>0.96029999999999993</v>
      </c>
      <c r="AH89" s="140">
        <f>IFERROR(_xlfn.XLOOKUP($D89,'Modelling New'!$D:$D,'Modelling New'!$AF:$AF),"")</f>
        <v>0.995</v>
      </c>
      <c r="AI89" s="121">
        <f>IFERROR(_xlfn.XLOOKUP($A89,Input_Raw!$A:$A,Input_Raw!$DE:$DE),"")</f>
        <v>1069.9000000000001</v>
      </c>
      <c r="AJ89" s="121"/>
      <c r="AK89" s="121"/>
      <c r="AL89" s="121"/>
      <c r="AM89" s="121"/>
      <c r="AN89" s="142">
        <f>IFERROR(_xlfn.XLOOKUP($A89,Input_Raw!$A:$A,Input_Raw!$DB:$DB),"")</f>
        <v>1.3594969223386322E-2</v>
      </c>
      <c r="AO89" s="140">
        <f>IFERROR((_xlfn.XLOOKUP($A89,'WTG Reactive Power'!$A:$A,'WTG Reactive Power'!$AR:$AR))/X89/1000,"")</f>
        <v>0</v>
      </c>
      <c r="AP89" s="140">
        <f>IFERROR(_xlfn.XLOOKUP($D89,'Modelling New'!$D:$D,'Modelling New'!$AK:$AK),"")</f>
        <v>0.05</v>
      </c>
      <c r="AQ89" s="140">
        <f>IFERROR(_xlfn.XLOOKUP($D89,'Modelling New'!$D:$D,'Modelling New'!$AL:$AL),"")</f>
        <v>0.05</v>
      </c>
      <c r="AR89">
        <f>IFERROR(_xlfn.XLOOKUP($D89,'Modelling New'!$D:$D,'Modelling New'!$N:$N),"")</f>
        <v>78</v>
      </c>
    </row>
    <row r="90" spans="1:44">
      <c r="A90" s="134">
        <f t="shared" si="7"/>
        <v>45833</v>
      </c>
      <c r="B90" s="123">
        <f>YEAR(Table13[[#This Row],[Date]])+IF(MONTH(Table13[[#This Row],[Date]])&gt;=4,1,0)</f>
        <v>2026</v>
      </c>
      <c r="C90" s="121">
        <f>YEAR(Table13[[#This Row],[Date]])</f>
        <v>2025</v>
      </c>
      <c r="D90" s="135">
        <f>Table13[[#This Row],[Date]]-DAY(Table13[[#This Row],[Date]])+1</f>
        <v>45809</v>
      </c>
      <c r="E90" s="121">
        <f t="shared" si="4"/>
        <v>30</v>
      </c>
      <c r="F90" s="124"/>
      <c r="G90" s="125"/>
      <c r="H90" s="125"/>
      <c r="I90" s="125"/>
      <c r="J90" s="125"/>
      <c r="K90" s="136"/>
      <c r="L90" s="125"/>
      <c r="M90" s="125">
        <f>IFERROR(_xlfn.XLOOKUP($A90,Input_Raw!$A:$A,Input_Raw!CG:CG),"")</f>
        <v>5.0984805759602354</v>
      </c>
      <c r="N90" s="125">
        <f>IFERROR(_xlfn.XLOOKUP($A90,Input_Raw!$A:$A,Input_Raw!CH:CH),"")</f>
        <v>0</v>
      </c>
      <c r="O90" s="137">
        <f t="shared" si="6"/>
        <v>0.88960373816840366</v>
      </c>
      <c r="P90" s="137">
        <f>IFERROR(1-SUMIF(WTG_BD!$F:$F,$A90,WTG_BD!$AA:$AA)/($AA90+SUMIF(WTG_BD!$F:$F,$A90,WTG_BD!$AA:$AA)),"")</f>
        <v>0.91924386271798941</v>
      </c>
      <c r="Q90" s="138">
        <f>IFERROR(1-SUMIF(IGA_BD!$F:$F,$A90,IGA_BD!$V:$V)/($AA90+SUMIF(IGA_BD!$F:$F,$A90,IGA_BD!$V:$V)),"")</f>
        <v>0.96775597232496413</v>
      </c>
      <c r="R90" s="143">
        <f>IFERROR(1-SUMIF(Grid_BD!$F:$F,$A90,Grid_BD!$X:$X)/($AA90+SUMIF(Grid_BD!$F:$F,$A90,Grid_BD!$X:$X)),"")</f>
        <v>1</v>
      </c>
      <c r="S90" s="121"/>
      <c r="T90" s="138"/>
      <c r="U90" s="139"/>
      <c r="V90" s="121"/>
      <c r="W90" s="140">
        <f>IFERROR(Table13[[#This Row],[Mtr_Net_Exp (KWh)]]/(24*AR90*1000),"")</f>
        <v>0.35641025641025642</v>
      </c>
      <c r="X90" s="121">
        <f>IFERROR(_xlfn.XLOOKUP($A90,Input_Raw!$A:$A,Input_Raw!$CF:$CF),"")</f>
        <v>655212</v>
      </c>
      <c r="Y90" s="121">
        <f>IFERROR(_xlfn.XLOOKUP($A90,Input_Raw!$A:$A,Input_Raw!$CZ:$CZ),"")</f>
        <v>667200</v>
      </c>
      <c r="Z90" s="121">
        <f>IFERROR(_xlfn.XLOOKUP($A90,Input_Raw!$A:$A,Input_Raw!$DA:$DA),"")</f>
        <v>0</v>
      </c>
      <c r="AA90" s="123">
        <f t="shared" si="5"/>
        <v>667200</v>
      </c>
      <c r="AB90" s="121">
        <f>IFERROR(_xlfn.XLOOKUP($A90,Input_Raw!$A:$A,Input_Raw!$DG:$DG),"")</f>
        <v>78</v>
      </c>
      <c r="AC90" s="141">
        <f>IFERROR(_xlfn.XLOOKUP($D90,'Modelling New'!$D:$D,'Modelling New'!$J:$J),"")</f>
        <v>6.5666666666666664</v>
      </c>
      <c r="AD90" s="123">
        <f>IFERROR(_xlfn.XLOOKUP($D90,'Modelling New'!$D:$D,'Modelling New'!$T:$T)*1000,"")</f>
        <v>501275.34211348038</v>
      </c>
      <c r="AE90" s="140"/>
      <c r="AF90" s="140">
        <f>IFERROR(_xlfn.XLOOKUP($D90,'Modelling New'!$D:$D,'Modelling New'!$W:$W),"")</f>
        <v>0.26777528959053443</v>
      </c>
      <c r="AG90" s="140">
        <f>IFERROR(_xlfn.XLOOKUP($D90,'Modelling New'!$D:$D,'Modelling New'!$AE:$AE),"")</f>
        <v>0.96029999999999993</v>
      </c>
      <c r="AH90" s="140">
        <f>IFERROR(_xlfn.XLOOKUP($D90,'Modelling New'!$D:$D,'Modelling New'!$AF:$AF),"")</f>
        <v>0.995</v>
      </c>
      <c r="AI90" s="121">
        <f>IFERROR(_xlfn.XLOOKUP($A90,Input_Raw!$A:$A,Input_Raw!$DE:$DE),"")</f>
        <v>676.61</v>
      </c>
      <c r="AJ90" s="121"/>
      <c r="AK90" s="121"/>
      <c r="AL90" s="121"/>
      <c r="AM90" s="121"/>
      <c r="AN90" s="142">
        <f>IFERROR(_xlfn.XLOOKUP($A90,Input_Raw!$A:$A,Input_Raw!$DB:$DB),"")</f>
        <v>-1.8296368198384538E-2</v>
      </c>
      <c r="AO90" s="140">
        <f>IFERROR((_xlfn.XLOOKUP($A90,'WTG Reactive Power'!$A:$A,'WTG Reactive Power'!$AR:$AR))/X90/1000,"")</f>
        <v>0</v>
      </c>
      <c r="AP90" s="140">
        <f>IFERROR(_xlfn.XLOOKUP($D90,'Modelling New'!$D:$D,'Modelling New'!$AK:$AK),"")</f>
        <v>0.05</v>
      </c>
      <c r="AQ90" s="140">
        <f>IFERROR(_xlfn.XLOOKUP($D90,'Modelling New'!$D:$D,'Modelling New'!$AL:$AL),"")</f>
        <v>0.05</v>
      </c>
      <c r="AR90">
        <f>IFERROR(_xlfn.XLOOKUP($D90,'Modelling New'!$D:$D,'Modelling New'!$N:$N),"")</f>
        <v>78</v>
      </c>
    </row>
    <row r="91" spans="1:44">
      <c r="A91" s="134">
        <f t="shared" si="7"/>
        <v>45834</v>
      </c>
      <c r="B91" s="123">
        <f>YEAR(Table13[[#This Row],[Date]])+IF(MONTH(Table13[[#This Row],[Date]])&gt;=4,1,0)</f>
        <v>2026</v>
      </c>
      <c r="C91" s="121">
        <f>YEAR(Table13[[#This Row],[Date]])</f>
        <v>2025</v>
      </c>
      <c r="D91" s="135">
        <f>Table13[[#This Row],[Date]]-DAY(Table13[[#This Row],[Date]])+1</f>
        <v>45809</v>
      </c>
      <c r="E91" s="121">
        <f t="shared" si="4"/>
        <v>30</v>
      </c>
      <c r="F91" s="124"/>
      <c r="G91" s="125"/>
      <c r="H91" s="125"/>
      <c r="I91" s="125"/>
      <c r="J91" s="125"/>
      <c r="K91" s="136"/>
      <c r="L91" s="125"/>
      <c r="M91" s="125">
        <f>IFERROR(_xlfn.XLOOKUP($A91,Input_Raw!$A:$A,Input_Raw!CG:CG),"")</f>
        <v>4.6851282051282048</v>
      </c>
      <c r="N91" s="125">
        <f>IFERROR(_xlfn.XLOOKUP($A91,Input_Raw!$A:$A,Input_Raw!CH:CH),"")</f>
        <v>0</v>
      </c>
      <c r="O91" s="137">
        <f t="shared" si="6"/>
        <v>0.90867112514344262</v>
      </c>
      <c r="P91" s="137">
        <f>IFERROR(1-SUMIF(WTG_BD!$F:$F,$A91,WTG_BD!$AA:$AA)/($AA91+SUMIF(WTG_BD!$F:$F,$A91,WTG_BD!$AA:$AA)),"")</f>
        <v>0.90867112514344262</v>
      </c>
      <c r="Q91" s="138">
        <f>IFERROR(1-SUMIF(IGA_BD!$F:$F,$A91,IGA_BD!$V:$V)/($AA91+SUMIF(IGA_BD!$F:$F,$A91,IGA_BD!$V:$V)),"")</f>
        <v>1</v>
      </c>
      <c r="R91" s="143">
        <f>IFERROR(1-SUMIF(Grid_BD!$F:$F,$A91,Grid_BD!$X:$X)/($AA91+SUMIF(Grid_BD!$F:$F,$A91,Grid_BD!$X:$X)),"")</f>
        <v>1</v>
      </c>
      <c r="S91" s="121"/>
      <c r="T91" s="138"/>
      <c r="U91" s="139"/>
      <c r="V91" s="121"/>
      <c r="W91" s="140">
        <f>IFERROR(Table13[[#This Row],[Mtr_Net_Exp (KWh)]]/(24*AR91*1000),"")</f>
        <v>0.1935897435897436</v>
      </c>
      <c r="X91" s="121">
        <f>IFERROR(_xlfn.XLOOKUP($A91,Input_Raw!$A:$A,Input_Raw!$CF:$CF),"")</f>
        <v>366418</v>
      </c>
      <c r="Y91" s="121">
        <f>IFERROR(_xlfn.XLOOKUP($A91,Input_Raw!$A:$A,Input_Raw!$CZ:$CZ),"")</f>
        <v>362400</v>
      </c>
      <c r="Z91" s="121">
        <f>IFERROR(_xlfn.XLOOKUP($A91,Input_Raw!$A:$A,Input_Raw!$DA:$DA),"")</f>
        <v>0</v>
      </c>
      <c r="AA91" s="123">
        <f t="shared" si="5"/>
        <v>362400</v>
      </c>
      <c r="AB91" s="121">
        <f>IFERROR(_xlfn.XLOOKUP($A91,Input_Raw!$A:$A,Input_Raw!$DG:$DG),"")</f>
        <v>78</v>
      </c>
      <c r="AC91" s="141">
        <f>IFERROR(_xlfn.XLOOKUP($D91,'Modelling New'!$D:$D,'Modelling New'!$J:$J),"")</f>
        <v>6.5666666666666664</v>
      </c>
      <c r="AD91" s="123">
        <f>IFERROR(_xlfn.XLOOKUP($D91,'Modelling New'!$D:$D,'Modelling New'!$T:$T)*1000,"")</f>
        <v>501275.34211348038</v>
      </c>
      <c r="AE91" s="140"/>
      <c r="AF91" s="140">
        <f>IFERROR(_xlfn.XLOOKUP($D91,'Modelling New'!$D:$D,'Modelling New'!$W:$W),"")</f>
        <v>0.26777528959053443</v>
      </c>
      <c r="AG91" s="140">
        <f>IFERROR(_xlfn.XLOOKUP($D91,'Modelling New'!$D:$D,'Modelling New'!$AE:$AE),"")</f>
        <v>0.96029999999999993</v>
      </c>
      <c r="AH91" s="140">
        <f>IFERROR(_xlfn.XLOOKUP($D91,'Modelling New'!$D:$D,'Modelling New'!$AF:$AF),"")</f>
        <v>0.995</v>
      </c>
      <c r="AI91" s="121">
        <f>IFERROR(_xlfn.XLOOKUP($A91,Input_Raw!$A:$A,Input_Raw!$DE:$DE),"")</f>
        <v>365.82</v>
      </c>
      <c r="AJ91" s="121"/>
      <c r="AK91" s="121"/>
      <c r="AL91" s="121"/>
      <c r="AM91" s="121"/>
      <c r="AN91" s="142">
        <f>IFERROR(_xlfn.XLOOKUP($A91,Input_Raw!$A:$A,Input_Raw!$DB:$DB),"")</f>
        <v>1.0965618501274532E-2</v>
      </c>
      <c r="AO91" s="140">
        <f>IFERROR((_xlfn.XLOOKUP($A91,'WTG Reactive Power'!$A:$A,'WTG Reactive Power'!$AR:$AR))/X91/1000,"")</f>
        <v>0</v>
      </c>
      <c r="AP91" s="140">
        <f>IFERROR(_xlfn.XLOOKUP($D91,'Modelling New'!$D:$D,'Modelling New'!$AK:$AK),"")</f>
        <v>0.05</v>
      </c>
      <c r="AQ91" s="140">
        <f>IFERROR(_xlfn.XLOOKUP($D91,'Modelling New'!$D:$D,'Modelling New'!$AL:$AL),"")</f>
        <v>0.05</v>
      </c>
      <c r="AR91">
        <f>IFERROR(_xlfn.XLOOKUP($D91,'Modelling New'!$D:$D,'Modelling New'!$N:$N),"")</f>
        <v>78</v>
      </c>
    </row>
    <row r="92" spans="1:44">
      <c r="A92" s="134">
        <f t="shared" si="7"/>
        <v>45835</v>
      </c>
      <c r="B92" s="123">
        <f>YEAR(Table13[[#This Row],[Date]])+IF(MONTH(Table13[[#This Row],[Date]])&gt;=4,1,0)</f>
        <v>2026</v>
      </c>
      <c r="C92" s="121">
        <f>YEAR(Table13[[#This Row],[Date]])</f>
        <v>2025</v>
      </c>
      <c r="D92" s="135">
        <f>Table13[[#This Row],[Date]]-DAY(Table13[[#This Row],[Date]])+1</f>
        <v>45809</v>
      </c>
      <c r="E92" s="121">
        <f t="shared" si="4"/>
        <v>30</v>
      </c>
      <c r="F92" s="124"/>
      <c r="G92" s="125"/>
      <c r="H92" s="125"/>
      <c r="I92" s="125"/>
      <c r="J92" s="125"/>
      <c r="K92" s="136"/>
      <c r="L92" s="125"/>
      <c r="M92" s="125">
        <f>IFERROR(_xlfn.XLOOKUP($A92,Input_Raw!$A:$A,Input_Raw!CG:CG),"")</f>
        <v>5.2874358974358975</v>
      </c>
      <c r="N92" s="125">
        <f>IFERROR(_xlfn.XLOOKUP($A92,Input_Raw!$A:$A,Input_Raw!CH:CH),"")</f>
        <v>0</v>
      </c>
      <c r="O92" s="137">
        <f t="shared" si="6"/>
        <v>0.9126176171199013</v>
      </c>
      <c r="P92" s="137">
        <f>IFERROR(1-SUMIF(WTG_BD!$F:$F,$A92,WTG_BD!$AA:$AA)/($AA92+SUMIF(WTG_BD!$F:$F,$A92,WTG_BD!$AA:$AA)),"")</f>
        <v>0.9126176171199013</v>
      </c>
      <c r="Q92" s="138">
        <f>IFERROR(1-SUMIF(IGA_BD!$F:$F,$A92,IGA_BD!$V:$V)/($AA92+SUMIF(IGA_BD!$F:$F,$A92,IGA_BD!$V:$V)),"")</f>
        <v>1</v>
      </c>
      <c r="R92" s="143">
        <f>IFERROR(1-SUMIF(Grid_BD!$F:$F,$A92,Grid_BD!$X:$X)/($AA92+SUMIF(Grid_BD!$F:$F,$A92,Grid_BD!$X:$X)),"")</f>
        <v>1</v>
      </c>
      <c r="S92" s="121"/>
      <c r="T92" s="138"/>
      <c r="U92" s="139"/>
      <c r="V92" s="121"/>
      <c r="W92" s="140">
        <f>IFERROR(Table13[[#This Row],[Mtr_Net_Exp (KWh)]]/(24*AR92*1000),"")</f>
        <v>0.31794871794871793</v>
      </c>
      <c r="X92" s="121">
        <f>IFERROR(_xlfn.XLOOKUP($A92,Input_Raw!$A:$A,Input_Raw!$CF:$CF),"")</f>
        <v>583375</v>
      </c>
      <c r="Y92" s="121">
        <f>IFERROR(_xlfn.XLOOKUP($A92,Input_Raw!$A:$A,Input_Raw!$CZ:$CZ),"")</f>
        <v>595200</v>
      </c>
      <c r="Z92" s="121">
        <f>IFERROR(_xlfn.XLOOKUP($A92,Input_Raw!$A:$A,Input_Raw!$DA:$DA),"")</f>
        <v>0</v>
      </c>
      <c r="AA92" s="123">
        <f t="shared" si="5"/>
        <v>595200</v>
      </c>
      <c r="AB92" s="121">
        <f>IFERROR(_xlfn.XLOOKUP($A92,Input_Raw!$A:$A,Input_Raw!$DG:$DG),"")</f>
        <v>78</v>
      </c>
      <c r="AC92" s="141">
        <f>IFERROR(_xlfn.XLOOKUP($D92,'Modelling New'!$D:$D,'Modelling New'!$J:$J),"")</f>
        <v>6.5666666666666664</v>
      </c>
      <c r="AD92" s="123">
        <f>IFERROR(_xlfn.XLOOKUP($D92,'Modelling New'!$D:$D,'Modelling New'!$T:$T)*1000,"")</f>
        <v>501275.34211348038</v>
      </c>
      <c r="AE92" s="140"/>
      <c r="AF92" s="140">
        <f>IFERROR(_xlfn.XLOOKUP($D92,'Modelling New'!$D:$D,'Modelling New'!$W:$W),"")</f>
        <v>0.26777528959053443</v>
      </c>
      <c r="AG92" s="140">
        <f>IFERROR(_xlfn.XLOOKUP($D92,'Modelling New'!$D:$D,'Modelling New'!$AE:$AE),"")</f>
        <v>0.96029999999999993</v>
      </c>
      <c r="AH92" s="140">
        <f>IFERROR(_xlfn.XLOOKUP($D92,'Modelling New'!$D:$D,'Modelling New'!$AF:$AF),"")</f>
        <v>0.995</v>
      </c>
      <c r="AI92" s="121">
        <f>IFERROR(_xlfn.XLOOKUP($A92,Input_Raw!$A:$A,Input_Raw!$DE:$DE),"")</f>
        <v>598.78</v>
      </c>
      <c r="AJ92" s="121"/>
      <c r="AK92" s="121"/>
      <c r="AL92" s="121"/>
      <c r="AM92" s="121"/>
      <c r="AN92" s="142">
        <f>IFERROR(_xlfn.XLOOKUP($A92,Input_Raw!$A:$A,Input_Raw!$DB:$DB),"")</f>
        <v>-2.0269980715663216E-2</v>
      </c>
      <c r="AO92" s="140">
        <f>IFERROR((_xlfn.XLOOKUP($A92,'WTG Reactive Power'!$A:$A,'WTG Reactive Power'!$AR:$AR))/X92/1000,"")</f>
        <v>0</v>
      </c>
      <c r="AP92" s="140">
        <f>IFERROR(_xlfn.XLOOKUP($D92,'Modelling New'!$D:$D,'Modelling New'!$AK:$AK),"")</f>
        <v>0.05</v>
      </c>
      <c r="AQ92" s="140">
        <f>IFERROR(_xlfn.XLOOKUP($D92,'Modelling New'!$D:$D,'Modelling New'!$AL:$AL),"")</f>
        <v>0.05</v>
      </c>
      <c r="AR92">
        <f>IFERROR(_xlfn.XLOOKUP($D92,'Modelling New'!$D:$D,'Modelling New'!$N:$N),"")</f>
        <v>78</v>
      </c>
    </row>
    <row r="93" spans="1:44">
      <c r="A93" s="134">
        <f t="shared" si="7"/>
        <v>45836</v>
      </c>
      <c r="B93" s="123">
        <f>YEAR(Table13[[#This Row],[Date]])+IF(MONTH(Table13[[#This Row],[Date]])&gt;=4,1,0)</f>
        <v>2026</v>
      </c>
      <c r="C93" s="121">
        <f>YEAR(Table13[[#This Row],[Date]])</f>
        <v>2025</v>
      </c>
      <c r="D93" s="135">
        <f>Table13[[#This Row],[Date]]-DAY(Table13[[#This Row],[Date]])+1</f>
        <v>45809</v>
      </c>
      <c r="E93" s="121">
        <f t="shared" si="4"/>
        <v>30</v>
      </c>
      <c r="F93" s="124"/>
      <c r="G93" s="125"/>
      <c r="H93" s="125"/>
      <c r="I93" s="125"/>
      <c r="J93" s="125"/>
      <c r="K93" s="136"/>
      <c r="L93" s="125"/>
      <c r="M93" s="125">
        <f>IFERROR(_xlfn.XLOOKUP($A93,Input_Raw!$A:$A,Input_Raw!CG:CG),"")</f>
        <v>6.7294871794871804</v>
      </c>
      <c r="N93" s="125">
        <f>IFERROR(_xlfn.XLOOKUP($A93,Input_Raw!$A:$A,Input_Raw!CH:CH),"")</f>
        <v>0</v>
      </c>
      <c r="O93" s="137">
        <f t="shared" si="6"/>
        <v>0.9089834950526281</v>
      </c>
      <c r="P93" s="137">
        <f>IFERROR(1-SUMIF(WTG_BD!$F:$F,$A93,WTG_BD!$AA:$AA)/($AA93+SUMIF(WTG_BD!$F:$F,$A93,WTG_BD!$AA:$AA)),"")</f>
        <v>0.9089834950526281</v>
      </c>
      <c r="Q93" s="138">
        <f>IFERROR(1-SUMIF(IGA_BD!$F:$F,$A93,IGA_BD!$V:$V)/($AA93+SUMIF(IGA_BD!$F:$F,$A93,IGA_BD!$V:$V)),"")</f>
        <v>1</v>
      </c>
      <c r="R93" s="143">
        <f>IFERROR(1-SUMIF(Grid_BD!$F:$F,$A93,Grid_BD!$X:$X)/($AA93+SUMIF(Grid_BD!$F:$F,$A93,Grid_BD!$X:$X)),"")</f>
        <v>1</v>
      </c>
      <c r="S93" s="121"/>
      <c r="T93" s="138"/>
      <c r="U93" s="139"/>
      <c r="V93" s="121"/>
      <c r="W93" s="140">
        <f>IFERROR(Table13[[#This Row],[Mtr_Net_Exp (KWh)]]/(24*AR93*1000),"")</f>
        <v>0.44743589743589746</v>
      </c>
      <c r="X93" s="121">
        <f>IFERROR(_xlfn.XLOOKUP($A93,Input_Raw!$A:$A,Input_Raw!$CF:$CF),"")</f>
        <v>851711</v>
      </c>
      <c r="Y93" s="121">
        <f>IFERROR(_xlfn.XLOOKUP($A93,Input_Raw!$A:$A,Input_Raw!$CZ:$CZ),"")</f>
        <v>837600</v>
      </c>
      <c r="Z93" s="121">
        <f>IFERROR(_xlfn.XLOOKUP($A93,Input_Raw!$A:$A,Input_Raw!$DA:$DA),"")</f>
        <v>0</v>
      </c>
      <c r="AA93" s="123">
        <f t="shared" si="5"/>
        <v>837600</v>
      </c>
      <c r="AB93" s="121">
        <f>IFERROR(_xlfn.XLOOKUP($A93,Input_Raw!$A:$A,Input_Raw!$DG:$DG),"")</f>
        <v>78</v>
      </c>
      <c r="AC93" s="141">
        <f>IFERROR(_xlfn.XLOOKUP($D93,'Modelling New'!$D:$D,'Modelling New'!$J:$J),"")</f>
        <v>6.5666666666666664</v>
      </c>
      <c r="AD93" s="123">
        <f>IFERROR(_xlfn.XLOOKUP($D93,'Modelling New'!$D:$D,'Modelling New'!$T:$T)*1000,"")</f>
        <v>501275.34211348038</v>
      </c>
      <c r="AE93" s="140"/>
      <c r="AF93" s="140">
        <f>IFERROR(_xlfn.XLOOKUP($D93,'Modelling New'!$D:$D,'Modelling New'!$W:$W),"")</f>
        <v>0.26777528959053443</v>
      </c>
      <c r="AG93" s="140">
        <f>IFERROR(_xlfn.XLOOKUP($D93,'Modelling New'!$D:$D,'Modelling New'!$AE:$AE),"")</f>
        <v>0.96029999999999993</v>
      </c>
      <c r="AH93" s="140">
        <f>IFERROR(_xlfn.XLOOKUP($D93,'Modelling New'!$D:$D,'Modelling New'!$AF:$AF),"")</f>
        <v>0.995</v>
      </c>
      <c r="AI93" s="121">
        <f>IFERROR(_xlfn.XLOOKUP($A93,Input_Raw!$A:$A,Input_Raw!$DE:$DE),"")</f>
        <v>840.11</v>
      </c>
      <c r="AJ93" s="121"/>
      <c r="AK93" s="121"/>
      <c r="AL93" s="121"/>
      <c r="AM93" s="121"/>
      <c r="AN93" s="142">
        <f>IFERROR(_xlfn.XLOOKUP($A93,Input_Raw!$A:$A,Input_Raw!$DB:$DB),"")</f>
        <v>1.6567826410601727E-2</v>
      </c>
      <c r="AO93" s="140">
        <f>IFERROR((_xlfn.XLOOKUP($A93,'WTG Reactive Power'!$A:$A,'WTG Reactive Power'!$AR:$AR))/X93/1000,"")</f>
        <v>2.7416989271713043E-6</v>
      </c>
      <c r="AP93" s="140">
        <f>IFERROR(_xlfn.XLOOKUP($D93,'Modelling New'!$D:$D,'Modelling New'!$AK:$AK),"")</f>
        <v>0.05</v>
      </c>
      <c r="AQ93" s="140">
        <f>IFERROR(_xlfn.XLOOKUP($D93,'Modelling New'!$D:$D,'Modelling New'!$AL:$AL),"")</f>
        <v>0.05</v>
      </c>
      <c r="AR93">
        <f>IFERROR(_xlfn.XLOOKUP($D93,'Modelling New'!$D:$D,'Modelling New'!$N:$N),"")</f>
        <v>78</v>
      </c>
    </row>
    <row r="94" spans="1:44">
      <c r="A94" s="134">
        <f t="shared" si="7"/>
        <v>45837</v>
      </c>
      <c r="B94" s="123">
        <f>YEAR(Table13[[#This Row],[Date]])+IF(MONTH(Table13[[#This Row],[Date]])&gt;=4,1,0)</f>
        <v>2026</v>
      </c>
      <c r="C94" s="121">
        <f>YEAR(Table13[[#This Row],[Date]])</f>
        <v>2025</v>
      </c>
      <c r="D94" s="135">
        <f>Table13[[#This Row],[Date]]-DAY(Table13[[#This Row],[Date]])+1</f>
        <v>45809</v>
      </c>
      <c r="E94" s="121">
        <f t="shared" si="4"/>
        <v>30</v>
      </c>
      <c r="F94" s="124"/>
      <c r="G94" s="125"/>
      <c r="H94" s="125"/>
      <c r="I94" s="125"/>
      <c r="J94" s="125"/>
      <c r="K94" s="136"/>
      <c r="L94" s="125"/>
      <c r="M94" s="125">
        <f>IFERROR(_xlfn.XLOOKUP($A94,Input_Raw!$A:$A,Input_Raw!CG:CG),"")</f>
        <v>9.2620791662597863</v>
      </c>
      <c r="N94" s="125">
        <f>IFERROR(_xlfn.XLOOKUP($A94,Input_Raw!$A:$A,Input_Raw!CH:CH),"")</f>
        <v>0</v>
      </c>
      <c r="O94" s="137">
        <f t="shared" si="6"/>
        <v>0.91840407012584813</v>
      </c>
      <c r="P94" s="137">
        <f>IFERROR(1-SUMIF(WTG_BD!$F:$F,$A94,WTG_BD!$AA:$AA)/($AA94+SUMIF(WTG_BD!$F:$F,$A94,WTG_BD!$AA:$AA)),"")</f>
        <v>0.91840407012584813</v>
      </c>
      <c r="Q94" s="138">
        <f>IFERROR(1-SUMIF(IGA_BD!$F:$F,$A94,IGA_BD!$V:$V)/($AA94+SUMIF(IGA_BD!$F:$F,$A94,IGA_BD!$V:$V)),"")</f>
        <v>1</v>
      </c>
      <c r="R94" s="143">
        <f>IFERROR(1-SUMIF(Grid_BD!$F:$F,$A94,Grid_BD!$X:$X)/($AA94+SUMIF(Grid_BD!$F:$F,$A94,Grid_BD!$X:$X)),"")</f>
        <v>1</v>
      </c>
      <c r="S94" s="121"/>
      <c r="T94" s="138"/>
      <c r="U94" s="139"/>
      <c r="V94" s="121"/>
      <c r="W94" s="140">
        <f>IFERROR(Table13[[#This Row],[Mtr_Net_Exp (KWh)]]/(24*AR94*1000),"")</f>
        <v>0.60192307692307689</v>
      </c>
      <c r="X94" s="121">
        <f>IFERROR(_xlfn.XLOOKUP($A94,Input_Raw!$A:$A,Input_Raw!$CF:$CF),"")</f>
        <v>1141646</v>
      </c>
      <c r="Y94" s="121">
        <f>IFERROR(_xlfn.XLOOKUP($A94,Input_Raw!$A:$A,Input_Raw!$CZ:$CZ),"")</f>
        <v>1126800</v>
      </c>
      <c r="Z94" s="121">
        <f>IFERROR(_xlfn.XLOOKUP($A94,Input_Raw!$A:$A,Input_Raw!$DA:$DA),"")</f>
        <v>0</v>
      </c>
      <c r="AA94" s="123">
        <f t="shared" si="5"/>
        <v>1126800</v>
      </c>
      <c r="AB94" s="121">
        <f>IFERROR(_xlfn.XLOOKUP($A94,Input_Raw!$A:$A,Input_Raw!$DG:$DG),"")</f>
        <v>78</v>
      </c>
      <c r="AC94" s="141">
        <f>IFERROR(_xlfn.XLOOKUP($D94,'Modelling New'!$D:$D,'Modelling New'!$J:$J),"")</f>
        <v>6.5666666666666664</v>
      </c>
      <c r="AD94" s="123">
        <f>IFERROR(_xlfn.XLOOKUP($D94,'Modelling New'!$D:$D,'Modelling New'!$T:$T)*1000,"")</f>
        <v>501275.34211348038</v>
      </c>
      <c r="AE94" s="140"/>
      <c r="AF94" s="140">
        <f>IFERROR(_xlfn.XLOOKUP($D94,'Modelling New'!$D:$D,'Modelling New'!$W:$W),"")</f>
        <v>0.26777528959053443</v>
      </c>
      <c r="AG94" s="140">
        <f>IFERROR(_xlfn.XLOOKUP($D94,'Modelling New'!$D:$D,'Modelling New'!$AE:$AE),"")</f>
        <v>0.96029999999999993</v>
      </c>
      <c r="AH94" s="140">
        <f>IFERROR(_xlfn.XLOOKUP($D94,'Modelling New'!$D:$D,'Modelling New'!$AF:$AF),"")</f>
        <v>0.995</v>
      </c>
      <c r="AI94" s="121">
        <f>IFERROR(_xlfn.XLOOKUP($A94,Input_Raw!$A:$A,Input_Raw!$DE:$DE),"")</f>
        <v>1130.55</v>
      </c>
      <c r="AJ94" s="121"/>
      <c r="AK94" s="121"/>
      <c r="AL94" s="121"/>
      <c r="AM94" s="121"/>
      <c r="AN94" s="142">
        <f>IFERROR(_xlfn.XLOOKUP($A94,Input_Raw!$A:$A,Input_Raw!$DB:$DB),"")</f>
        <v>1.3004031021875417E-2</v>
      </c>
      <c r="AO94" s="140">
        <f>IFERROR((_xlfn.XLOOKUP($A94,'WTG Reactive Power'!$A:$A,'WTG Reactive Power'!$AR:$AR))/X94/1000,"")</f>
        <v>0</v>
      </c>
      <c r="AP94" s="140">
        <f>IFERROR(_xlfn.XLOOKUP($D94,'Modelling New'!$D:$D,'Modelling New'!$AK:$AK),"")</f>
        <v>0.05</v>
      </c>
      <c r="AQ94" s="140">
        <f>IFERROR(_xlfn.XLOOKUP($D94,'Modelling New'!$D:$D,'Modelling New'!$AL:$AL),"")</f>
        <v>0.05</v>
      </c>
      <c r="AR94">
        <f>IFERROR(_xlfn.XLOOKUP($D94,'Modelling New'!$D:$D,'Modelling New'!$N:$N),"")</f>
        <v>78</v>
      </c>
    </row>
    <row r="95" spans="1:44">
      <c r="A95" s="134">
        <f t="shared" si="7"/>
        <v>45838</v>
      </c>
      <c r="B95" s="123">
        <f>YEAR(Table13[[#This Row],[Date]])+IF(MONTH(Table13[[#This Row],[Date]])&gt;=4,1,0)</f>
        <v>2026</v>
      </c>
      <c r="C95" s="121">
        <f>YEAR(Table13[[#This Row],[Date]])</f>
        <v>2025</v>
      </c>
      <c r="D95" s="135">
        <f>Table13[[#This Row],[Date]]-DAY(Table13[[#This Row],[Date]])+1</f>
        <v>45809</v>
      </c>
      <c r="E95" s="121">
        <f t="shared" si="4"/>
        <v>30</v>
      </c>
      <c r="F95" s="124"/>
      <c r="G95" s="125"/>
      <c r="H95" s="125"/>
      <c r="I95" s="125"/>
      <c r="J95" s="125"/>
      <c r="K95" s="136"/>
      <c r="L95" s="125"/>
      <c r="M95" s="125">
        <f>IFERROR(_xlfn.XLOOKUP($A95,Input_Raw!$A:$A,Input_Raw!CG:CG),"")</f>
        <v>6.7294871794871804</v>
      </c>
      <c r="N95" s="125">
        <f>IFERROR(_xlfn.XLOOKUP($A95,Input_Raw!$A:$A,Input_Raw!CH:CH),"")</f>
        <v>0</v>
      </c>
      <c r="O95" s="137">
        <f t="shared" si="6"/>
        <v>0.9202850004359231</v>
      </c>
      <c r="P95" s="137">
        <f>IFERROR(1-SUMIF(WTG_BD!$F:$F,$A95,WTG_BD!$AA:$AA)/($AA95+SUMIF(WTG_BD!$F:$F,$A95,WTG_BD!$AA:$AA)),"")</f>
        <v>0.9202850004359231</v>
      </c>
      <c r="Q95" s="138">
        <f>IFERROR(1-SUMIF(IGA_BD!$F:$F,$A95,IGA_BD!$V:$V)/($AA95+SUMIF(IGA_BD!$F:$F,$A95,IGA_BD!$V:$V)),"")</f>
        <v>1</v>
      </c>
      <c r="R95" s="143">
        <f>IFERROR(1-SUMIF(Grid_BD!$F:$F,$A95,Grid_BD!$X:$X)/($AA95+SUMIF(Grid_BD!$F:$F,$A95,Grid_BD!$X:$X)),"")</f>
        <v>1</v>
      </c>
      <c r="S95" s="121"/>
      <c r="T95" s="138"/>
      <c r="U95" s="139"/>
      <c r="V95" s="121"/>
      <c r="W95" s="140">
        <f>IFERROR(Table13[[#This Row],[Mtr_Net_Exp (KWh)]]/(24*AR95*1000),"")</f>
        <v>0.42628205128205127</v>
      </c>
      <c r="X95" s="121">
        <f>IFERROR(_xlfn.XLOOKUP($A95,Input_Raw!$A:$A,Input_Raw!$CF:$CF),"")</f>
        <v>813028</v>
      </c>
      <c r="Y95" s="121">
        <f>IFERROR(_xlfn.XLOOKUP($A95,Input_Raw!$A:$A,Input_Raw!$CZ:$CZ),"")</f>
        <v>798000</v>
      </c>
      <c r="Z95" s="121">
        <f>IFERROR(_xlfn.XLOOKUP($A95,Input_Raw!$A:$A,Input_Raw!$DA:$DA),"")</f>
        <v>0</v>
      </c>
      <c r="AA95" s="123">
        <f t="shared" si="5"/>
        <v>798000</v>
      </c>
      <c r="AB95" s="121">
        <f>IFERROR(_xlfn.XLOOKUP($A95,Input_Raw!$A:$A,Input_Raw!$DG:$DG),"")</f>
        <v>78</v>
      </c>
      <c r="AC95" s="141">
        <f>IFERROR(_xlfn.XLOOKUP($D95,'Modelling New'!$D:$D,'Modelling New'!$J:$J),"")</f>
        <v>6.5666666666666664</v>
      </c>
      <c r="AD95" s="123">
        <f>IFERROR(_xlfn.XLOOKUP($D95,'Modelling New'!$D:$D,'Modelling New'!$T:$T)*1000,"")</f>
        <v>501275.34211348038</v>
      </c>
      <c r="AE95" s="140"/>
      <c r="AF95" s="140">
        <f>IFERROR(_xlfn.XLOOKUP($D95,'Modelling New'!$D:$D,'Modelling New'!$W:$W),"")</f>
        <v>0.26777528959053443</v>
      </c>
      <c r="AG95" s="140">
        <f>IFERROR(_xlfn.XLOOKUP($D95,'Modelling New'!$D:$D,'Modelling New'!$AE:$AE),"")</f>
        <v>0.96029999999999993</v>
      </c>
      <c r="AH95" s="140">
        <f>IFERROR(_xlfn.XLOOKUP($D95,'Modelling New'!$D:$D,'Modelling New'!$AF:$AF),"")</f>
        <v>0.995</v>
      </c>
      <c r="AI95" s="121">
        <f>IFERROR(_xlfn.XLOOKUP($A95,Input_Raw!$A:$A,Input_Raw!$DE:$DE),"")</f>
        <v>801.43</v>
      </c>
      <c r="AJ95" s="121"/>
      <c r="AK95" s="121"/>
      <c r="AL95" s="121"/>
      <c r="AM95" s="121"/>
      <c r="AN95" s="142">
        <f>IFERROR(_xlfn.XLOOKUP($A95,Input_Raw!$A:$A,Input_Raw!$DB:$DB),"")</f>
        <v>1.8483988251327133E-2</v>
      </c>
      <c r="AO95" s="140">
        <f>IFERROR((_xlfn.XLOOKUP($A95,'WTG Reactive Power'!$A:$A,'WTG Reactive Power'!$AR:$AR))/X95/1000,"")</f>
        <v>0</v>
      </c>
      <c r="AP95" s="140">
        <f>IFERROR(_xlfn.XLOOKUP($D95,'Modelling New'!$D:$D,'Modelling New'!$AK:$AK),"")</f>
        <v>0.05</v>
      </c>
      <c r="AQ95" s="140">
        <f>IFERROR(_xlfn.XLOOKUP($D95,'Modelling New'!$D:$D,'Modelling New'!$AL:$AL),"")</f>
        <v>0.05</v>
      </c>
      <c r="AR95">
        <f>IFERROR(_xlfn.XLOOKUP($D95,'Modelling New'!$D:$D,'Modelling New'!$N:$N),"")</f>
        <v>78</v>
      </c>
    </row>
    <row r="96" spans="1:44">
      <c r="A96" s="134">
        <f t="shared" si="7"/>
        <v>45839</v>
      </c>
      <c r="B96" s="123">
        <f>YEAR(Table13[[#This Row],[Date]])+IF(MONTH(Table13[[#This Row],[Date]])&gt;=4,1,0)</f>
        <v>2026</v>
      </c>
      <c r="C96" s="121">
        <f>YEAR(Table13[[#This Row],[Date]])</f>
        <v>2025</v>
      </c>
      <c r="D96" s="135">
        <f>Table13[[#This Row],[Date]]-DAY(Table13[[#This Row],[Date]])+1</f>
        <v>45839</v>
      </c>
      <c r="E96" s="121">
        <f t="shared" si="4"/>
        <v>31</v>
      </c>
      <c r="F96" s="124"/>
      <c r="G96" s="125"/>
      <c r="H96" s="125"/>
      <c r="I96" s="125"/>
      <c r="J96" s="125"/>
      <c r="K96" s="136"/>
      <c r="L96" s="125"/>
      <c r="M96" s="125">
        <f>IFERROR(_xlfn.XLOOKUP($A96,Input_Raw!$A:$A,Input_Raw!CG:CG),"")</f>
        <v>5.1585046751725709</v>
      </c>
      <c r="N96" s="125">
        <f>IFERROR(_xlfn.XLOOKUP($A96,Input_Raw!$A:$A,Input_Raw!CH:CH),"")</f>
        <v>0</v>
      </c>
      <c r="O96" s="137">
        <f t="shared" si="6"/>
        <v>0.91672126608223348</v>
      </c>
      <c r="P96" s="137">
        <f>IFERROR(1-SUMIF(WTG_BD!$F:$F,$A96,WTG_BD!$AA:$AA)/($AA96+SUMIF(WTG_BD!$F:$F,$A96,WTG_BD!$AA:$AA)),"")</f>
        <v>0.91672126608223348</v>
      </c>
      <c r="Q96" s="138">
        <f>IFERROR(1-SUMIF(IGA_BD!$F:$F,$A96,IGA_BD!$V:$V)/($AA96+SUMIF(IGA_BD!$F:$F,$A96,IGA_BD!$V:$V)),"")</f>
        <v>1</v>
      </c>
      <c r="R96" s="143">
        <f>IFERROR(1-SUMIF(Grid_BD!$F:$F,$A96,Grid_BD!$X:$X)/($AA96+SUMIF(Grid_BD!$F:$F,$A96,Grid_BD!$X:$X)),"")</f>
        <v>1</v>
      </c>
      <c r="S96" s="121"/>
      <c r="T96" s="138"/>
      <c r="U96" s="139"/>
      <c r="V96" s="121"/>
      <c r="W96" s="140">
        <f>IFERROR(Table13[[#This Row],[Mtr_Net_Exp (KWh)]]/(24*AR96*1000),"")</f>
        <v>0.43974358974358974</v>
      </c>
      <c r="X96" s="121">
        <f>IFERROR(_xlfn.XLOOKUP($A96,Input_Raw!$A:$A,Input_Raw!$CF:$CF),"")</f>
        <v>826509</v>
      </c>
      <c r="Y96" s="121">
        <f>IFERROR(_xlfn.XLOOKUP($A96,Input_Raw!$A:$A,Input_Raw!$CZ:$CZ),"")</f>
        <v>823200</v>
      </c>
      <c r="Z96" s="121">
        <f>IFERROR(_xlfn.XLOOKUP($A96,Input_Raw!$A:$A,Input_Raw!$DA:$DA),"")</f>
        <v>0</v>
      </c>
      <c r="AA96" s="123">
        <f t="shared" si="5"/>
        <v>823200</v>
      </c>
      <c r="AB96" s="121">
        <f>IFERROR(_xlfn.XLOOKUP($A96,Input_Raw!$A:$A,Input_Raw!$DG:$DG),"")</f>
        <v>78</v>
      </c>
      <c r="AC96" s="141">
        <f>IFERROR(_xlfn.XLOOKUP($D96,'Modelling New'!$D:$D,'Modelling New'!$J:$J),"")</f>
        <v>7.6000000000000005</v>
      </c>
      <c r="AD96" s="123">
        <f>IFERROR(_xlfn.XLOOKUP($D96,'Modelling New'!$D:$D,'Modelling New'!$T:$T)*1000,"")</f>
        <v>585797.81940673687</v>
      </c>
      <c r="AE96" s="140"/>
      <c r="AF96" s="140">
        <f>IFERROR(_xlfn.XLOOKUP($D96,'Modelling New'!$D:$D,'Modelling New'!$W:$W),"")</f>
        <v>0.31292618558052182</v>
      </c>
      <c r="AG96" s="140">
        <f>IFERROR(_xlfn.XLOOKUP($D96,'Modelling New'!$D:$D,'Modelling New'!$AE:$AE),"")</f>
        <v>0.96029999999999993</v>
      </c>
      <c r="AH96" s="140">
        <f>IFERROR(_xlfn.XLOOKUP($D96,'Modelling New'!$D:$D,'Modelling New'!$AF:$AF),"")</f>
        <v>0.995</v>
      </c>
      <c r="AI96" s="121">
        <f>IFERROR(_xlfn.XLOOKUP($A96,Input_Raw!$A:$A,Input_Raw!$DE:$DE),"")</f>
        <v>826.51</v>
      </c>
      <c r="AJ96" s="121"/>
      <c r="AK96" s="121"/>
      <c r="AL96" s="121"/>
      <c r="AM96" s="121"/>
      <c r="AN96" s="142">
        <f>IFERROR(_xlfn.XLOOKUP($A96,Input_Raw!$A:$A,Input_Raw!$DB:$DB),"")</f>
        <v>4.0035861678456852E-3</v>
      </c>
      <c r="AO96" s="140">
        <f>IFERROR((_xlfn.XLOOKUP($A96,'WTG Reactive Power'!$A:$A,'WTG Reactive Power'!$AR:$AR))/X96/1000,"")</f>
        <v>0</v>
      </c>
      <c r="AP96" s="140">
        <f>IFERROR(_xlfn.XLOOKUP($D96,'Modelling New'!$D:$D,'Modelling New'!$AK:$AK),"")</f>
        <v>0.05</v>
      </c>
      <c r="AQ96" s="140">
        <f>IFERROR(_xlfn.XLOOKUP($D96,'Modelling New'!$D:$D,'Modelling New'!$AL:$AL),"")</f>
        <v>0.05</v>
      </c>
      <c r="AR96">
        <f>IFERROR(_xlfn.XLOOKUP($D96,'Modelling New'!$D:$D,'Modelling New'!$N:$N),"")</f>
        <v>78</v>
      </c>
    </row>
    <row r="97" spans="1:44">
      <c r="A97" s="134">
        <f t="shared" si="7"/>
        <v>45840</v>
      </c>
      <c r="B97" s="123">
        <f>YEAR(Table13[[#This Row],[Date]])+IF(MONTH(Table13[[#This Row],[Date]])&gt;=4,1,0)</f>
        <v>2026</v>
      </c>
      <c r="C97" s="121">
        <f>YEAR(Table13[[#This Row],[Date]])</f>
        <v>2025</v>
      </c>
      <c r="D97" s="135">
        <f>Table13[[#This Row],[Date]]-DAY(Table13[[#This Row],[Date]])+1</f>
        <v>45839</v>
      </c>
      <c r="E97" s="121">
        <f t="shared" si="4"/>
        <v>31</v>
      </c>
      <c r="F97" s="124"/>
      <c r="G97" s="125"/>
      <c r="H97" s="125"/>
      <c r="I97" s="125"/>
      <c r="J97" s="125"/>
      <c r="K97" s="136"/>
      <c r="L97" s="125"/>
      <c r="M97" s="125">
        <f>IFERROR(_xlfn.XLOOKUP($A97,Input_Raw!$A:$A,Input_Raw!CG:CG),"")</f>
        <v>5.000745753465794</v>
      </c>
      <c r="N97" s="125">
        <f>IFERROR(_xlfn.XLOOKUP($A97,Input_Raw!$A:$A,Input_Raw!CH:CH),"")</f>
        <v>0</v>
      </c>
      <c r="O97" s="137">
        <f t="shared" si="6"/>
        <v>0.91108194708868651</v>
      </c>
      <c r="P97" s="137">
        <f>IFERROR(1-SUMIF(WTG_BD!$F:$F,$A97,WTG_BD!$AA:$AA)/($AA97+SUMIF(WTG_BD!$F:$F,$A97,WTG_BD!$AA:$AA)),"")</f>
        <v>0.91108194708868651</v>
      </c>
      <c r="Q97" s="138">
        <f>IFERROR(1-SUMIF(IGA_BD!$F:$F,$A97,IGA_BD!$V:$V)/($AA97+SUMIF(IGA_BD!$F:$F,$A97,IGA_BD!$V:$V)),"")</f>
        <v>1</v>
      </c>
      <c r="R97" s="143">
        <f>IFERROR(1-SUMIF(Grid_BD!$F:$F,$A97,Grid_BD!$X:$X)/($AA97+SUMIF(Grid_BD!$F:$F,$A97,Grid_BD!$X:$X)),"")</f>
        <v>1</v>
      </c>
      <c r="S97" s="121"/>
      <c r="T97" s="138"/>
      <c r="U97" s="139"/>
      <c r="V97" s="121"/>
      <c r="W97" s="140">
        <f>IFERROR(Table13[[#This Row],[Mtr_Net_Exp (KWh)]]/(24*AR97*1000),"")</f>
        <v>0.41217948717948716</v>
      </c>
      <c r="X97" s="121">
        <f>IFERROR(_xlfn.XLOOKUP($A97,Input_Raw!$A:$A,Input_Raw!$CF:$CF),"")</f>
        <v>774795</v>
      </c>
      <c r="Y97" s="121">
        <f>IFERROR(_xlfn.XLOOKUP($A97,Input_Raw!$A:$A,Input_Raw!$CZ:$CZ),"")</f>
        <v>771600</v>
      </c>
      <c r="Z97" s="121">
        <f>IFERROR(_xlfn.XLOOKUP($A97,Input_Raw!$A:$A,Input_Raw!$DA:$DA),"")</f>
        <v>0</v>
      </c>
      <c r="AA97" s="123">
        <f t="shared" si="5"/>
        <v>771600</v>
      </c>
      <c r="AB97" s="121">
        <f>IFERROR(_xlfn.XLOOKUP($A97,Input_Raw!$A:$A,Input_Raw!$DG:$DG),"")</f>
        <v>78</v>
      </c>
      <c r="AC97" s="141">
        <f>IFERROR(_xlfn.XLOOKUP($D97,'Modelling New'!$D:$D,'Modelling New'!$J:$J),"")</f>
        <v>7.6000000000000005</v>
      </c>
      <c r="AD97" s="123">
        <f>IFERROR(_xlfn.XLOOKUP($D97,'Modelling New'!$D:$D,'Modelling New'!$T:$T)*1000,"")</f>
        <v>585797.81940673687</v>
      </c>
      <c r="AE97" s="140"/>
      <c r="AF97" s="140">
        <f>IFERROR(_xlfn.XLOOKUP($D97,'Modelling New'!$D:$D,'Modelling New'!$W:$W),"")</f>
        <v>0.31292618558052182</v>
      </c>
      <c r="AG97" s="140">
        <f>IFERROR(_xlfn.XLOOKUP($D97,'Modelling New'!$D:$D,'Modelling New'!$AE:$AE),"")</f>
        <v>0.96029999999999993</v>
      </c>
      <c r="AH97" s="140">
        <f>IFERROR(_xlfn.XLOOKUP($D97,'Modelling New'!$D:$D,'Modelling New'!$AF:$AF),"")</f>
        <v>0.995</v>
      </c>
      <c r="AI97" s="121">
        <f>IFERROR(_xlfn.XLOOKUP($A97,Input_Raw!$A:$A,Input_Raw!$DE:$DE),"")</f>
        <v>774.79499999999996</v>
      </c>
      <c r="AJ97" s="121"/>
      <c r="AK97" s="121"/>
      <c r="AL97" s="121"/>
      <c r="AM97" s="121"/>
      <c r="AN97" s="142">
        <f>IFERROR(_xlfn.XLOOKUP($A97,Input_Raw!$A:$A,Input_Raw!$DB:$DB),"")</f>
        <v>4.1236714227634863E-3</v>
      </c>
      <c r="AO97" s="140">
        <f>IFERROR((_xlfn.XLOOKUP($A97,'WTG Reactive Power'!$A:$A,'WTG Reactive Power'!$AR:$AR))/X97/1000,"")</f>
        <v>0</v>
      </c>
      <c r="AP97" s="140">
        <f>IFERROR(_xlfn.XLOOKUP($D97,'Modelling New'!$D:$D,'Modelling New'!$AK:$AK),"")</f>
        <v>0.05</v>
      </c>
      <c r="AQ97" s="140">
        <f>IFERROR(_xlfn.XLOOKUP($D97,'Modelling New'!$D:$D,'Modelling New'!$AL:$AL),"")</f>
        <v>0.05</v>
      </c>
      <c r="AR97">
        <f>IFERROR(_xlfn.XLOOKUP($D97,'Modelling New'!$D:$D,'Modelling New'!$N:$N),"")</f>
        <v>78</v>
      </c>
    </row>
    <row r="98" spans="1:44">
      <c r="A98" s="134">
        <f t="shared" si="7"/>
        <v>45841</v>
      </c>
      <c r="B98" s="123">
        <f>YEAR(Table13[[#This Row],[Date]])+IF(MONTH(Table13[[#This Row],[Date]])&gt;=4,1,0)</f>
        <v>2026</v>
      </c>
      <c r="C98" s="121">
        <f>YEAR(Table13[[#This Row],[Date]])</f>
        <v>2025</v>
      </c>
      <c r="D98" s="135">
        <f>Table13[[#This Row],[Date]]-DAY(Table13[[#This Row],[Date]])+1</f>
        <v>45839</v>
      </c>
      <c r="E98" s="121">
        <f t="shared" si="4"/>
        <v>31</v>
      </c>
      <c r="F98" s="124"/>
      <c r="G98" s="125"/>
      <c r="H98" s="125"/>
      <c r="I98" s="125"/>
      <c r="J98" s="125"/>
      <c r="K98" s="136"/>
      <c r="L98" s="125"/>
      <c r="M98" s="125">
        <f>IFERROR(_xlfn.XLOOKUP($A98,Input_Raw!$A:$A,Input_Raw!CG:CG),"")</f>
        <v>7.5105128205128198</v>
      </c>
      <c r="N98" s="125">
        <f>IFERROR(_xlfn.XLOOKUP($A98,Input_Raw!$A:$A,Input_Raw!CH:CH),"")</f>
        <v>0</v>
      </c>
      <c r="O98" s="137">
        <f t="shared" si="6"/>
        <v>0.92857935596248864</v>
      </c>
      <c r="P98" s="137">
        <f>IFERROR(1-SUMIF(WTG_BD!$F:$F,$A98,WTG_BD!$AA:$AA)/($AA98+SUMIF(WTG_BD!$F:$F,$A98,WTG_BD!$AA:$AA)),"")</f>
        <v>0.92857935596248864</v>
      </c>
      <c r="Q98" s="138">
        <f>IFERROR(1-SUMIF(IGA_BD!$F:$F,$A98,IGA_BD!$V:$V)/($AA98+SUMIF(IGA_BD!$F:$F,$A98,IGA_BD!$V:$V)),"")</f>
        <v>1</v>
      </c>
      <c r="R98" s="143">
        <f>IFERROR(1-SUMIF(Grid_BD!$F:$F,$A98,Grid_BD!$X:$X)/($AA98+SUMIF(Grid_BD!$F:$F,$A98,Grid_BD!$X:$X)),"")</f>
        <v>1</v>
      </c>
      <c r="S98" s="121"/>
      <c r="T98" s="138"/>
      <c r="U98" s="139"/>
      <c r="V98" s="121"/>
      <c r="W98" s="140">
        <f>IFERROR(Table13[[#This Row],[Mtr_Net_Exp (KWh)]]/(24*AR98*1000),"")</f>
        <v>0.51730769230769236</v>
      </c>
      <c r="X98" s="121">
        <f>IFERROR(_xlfn.XLOOKUP($A98,Input_Raw!$A:$A,Input_Raw!$CF:$CF),"")</f>
        <v>971643</v>
      </c>
      <c r="Y98" s="121">
        <f>IFERROR(_xlfn.XLOOKUP($A98,Input_Raw!$A:$A,Input_Raw!$CZ:$CZ),"")</f>
        <v>968400</v>
      </c>
      <c r="Z98" s="121">
        <f>IFERROR(_xlfn.XLOOKUP($A98,Input_Raw!$A:$A,Input_Raw!$DA:$DA),"")</f>
        <v>0</v>
      </c>
      <c r="AA98" s="123">
        <f t="shared" si="5"/>
        <v>968400</v>
      </c>
      <c r="AB98" s="121">
        <f>IFERROR(_xlfn.XLOOKUP($A98,Input_Raw!$A:$A,Input_Raw!$DG:$DG),"")</f>
        <v>78</v>
      </c>
      <c r="AC98" s="141">
        <f>IFERROR(_xlfn.XLOOKUP($D98,'Modelling New'!$D:$D,'Modelling New'!$J:$J),"")</f>
        <v>7.6000000000000005</v>
      </c>
      <c r="AD98" s="123">
        <f>IFERROR(_xlfn.XLOOKUP($D98,'Modelling New'!$D:$D,'Modelling New'!$T:$T)*1000,"")</f>
        <v>585797.81940673687</v>
      </c>
      <c r="AE98" s="140"/>
      <c r="AF98" s="140">
        <f>IFERROR(_xlfn.XLOOKUP($D98,'Modelling New'!$D:$D,'Modelling New'!$W:$W),"")</f>
        <v>0.31292618558052182</v>
      </c>
      <c r="AG98" s="140">
        <f>IFERROR(_xlfn.XLOOKUP($D98,'Modelling New'!$D:$D,'Modelling New'!$AE:$AE),"")</f>
        <v>0.96029999999999993</v>
      </c>
      <c r="AH98" s="140">
        <f>IFERROR(_xlfn.XLOOKUP($D98,'Modelling New'!$D:$D,'Modelling New'!$AF:$AF),"")</f>
        <v>0.995</v>
      </c>
      <c r="AI98" s="121">
        <f>IFERROR(_xlfn.XLOOKUP($A98,Input_Raw!$A:$A,Input_Raw!$DE:$DE),"")</f>
        <v>971.64300000000003</v>
      </c>
      <c r="AJ98" s="121"/>
      <c r="AK98" s="121"/>
      <c r="AL98" s="121"/>
      <c r="AM98" s="121"/>
      <c r="AN98" s="142">
        <f>IFERROR(_xlfn.XLOOKUP($A98,Input_Raw!$A:$A,Input_Raw!$DB:$DB),"")</f>
        <v>3.3376456167543145E-3</v>
      </c>
      <c r="AO98" s="140">
        <f>IFERROR((_xlfn.XLOOKUP($A98,'WTG Reactive Power'!$A:$A,'WTG Reactive Power'!$AR:$AR))/X98/1000,"")</f>
        <v>0</v>
      </c>
      <c r="AP98" s="140">
        <f>IFERROR(_xlfn.XLOOKUP($D98,'Modelling New'!$D:$D,'Modelling New'!$AK:$AK),"")</f>
        <v>0.05</v>
      </c>
      <c r="AQ98" s="140">
        <f>IFERROR(_xlfn.XLOOKUP($D98,'Modelling New'!$D:$D,'Modelling New'!$AL:$AL),"")</f>
        <v>0.05</v>
      </c>
      <c r="AR98">
        <f>IFERROR(_xlfn.XLOOKUP($D98,'Modelling New'!$D:$D,'Modelling New'!$N:$N),"")</f>
        <v>78</v>
      </c>
    </row>
    <row r="99" spans="1:44">
      <c r="A99" s="134">
        <f t="shared" si="7"/>
        <v>45842</v>
      </c>
      <c r="B99" s="123">
        <f>YEAR(Table13[[#This Row],[Date]])+IF(MONTH(Table13[[#This Row],[Date]])&gt;=4,1,0)</f>
        <v>2026</v>
      </c>
      <c r="C99" s="121">
        <f>YEAR(Table13[[#This Row],[Date]])</f>
        <v>2025</v>
      </c>
      <c r="D99" s="135">
        <f>Table13[[#This Row],[Date]]-DAY(Table13[[#This Row],[Date]])+1</f>
        <v>45839</v>
      </c>
      <c r="E99" s="121">
        <f t="shared" si="4"/>
        <v>31</v>
      </c>
      <c r="F99" s="124"/>
      <c r="G99" s="125"/>
      <c r="H99" s="125"/>
      <c r="I99" s="125"/>
      <c r="J99" s="125"/>
      <c r="K99" s="136"/>
      <c r="L99" s="125"/>
      <c r="M99" s="125">
        <f>IFERROR(_xlfn.XLOOKUP($A99,Input_Raw!$A:$A,Input_Raw!CG:CG),"")</f>
        <v>6.5364102564102584</v>
      </c>
      <c r="N99" s="125">
        <f>IFERROR(_xlfn.XLOOKUP($A99,Input_Raw!$A:$A,Input_Raw!CH:CH),"")</f>
        <v>0</v>
      </c>
      <c r="O99" s="137">
        <f t="shared" si="6"/>
        <v>0.91036014973746338</v>
      </c>
      <c r="P99" s="137">
        <f>IFERROR(1-SUMIF(WTG_BD!$F:$F,$A99,WTG_BD!$AA:$AA)/($AA99+SUMIF(WTG_BD!$F:$F,$A99,WTG_BD!$AA:$AA)),"")</f>
        <v>0.91036014973746338</v>
      </c>
      <c r="Q99" s="138">
        <f>IFERROR(1-SUMIF(IGA_BD!$F:$F,$A99,IGA_BD!$V:$V)/($AA99+SUMIF(IGA_BD!$F:$F,$A99,IGA_BD!$V:$V)),"")</f>
        <v>1</v>
      </c>
      <c r="R99" s="143">
        <f>IFERROR(1-SUMIF(Grid_BD!$F:$F,$A99,Grid_BD!$X:$X)/($AA99+SUMIF(Grid_BD!$F:$F,$A99,Grid_BD!$X:$X)),"")</f>
        <v>1</v>
      </c>
      <c r="S99" s="121"/>
      <c r="T99" s="138"/>
      <c r="U99" s="139"/>
      <c r="V99" s="121"/>
      <c r="W99" s="140">
        <f>IFERROR(Table13[[#This Row],[Mtr_Net_Exp (KWh)]]/(24*AR99*1000),"")</f>
        <v>0.42820512820512818</v>
      </c>
      <c r="X99" s="121">
        <f>IFERROR(_xlfn.XLOOKUP($A99,Input_Raw!$A:$A,Input_Raw!$CF:$CF),"")</f>
        <v>804983</v>
      </c>
      <c r="Y99" s="121">
        <f>IFERROR(_xlfn.XLOOKUP($A99,Input_Raw!$A:$A,Input_Raw!$CZ:$CZ),"")</f>
        <v>801600</v>
      </c>
      <c r="Z99" s="121">
        <f>IFERROR(_xlfn.XLOOKUP($A99,Input_Raw!$A:$A,Input_Raw!$DA:$DA),"")</f>
        <v>0</v>
      </c>
      <c r="AA99" s="123">
        <f t="shared" si="5"/>
        <v>801600</v>
      </c>
      <c r="AB99" s="121">
        <f>IFERROR(_xlfn.XLOOKUP($A99,Input_Raw!$A:$A,Input_Raw!$DG:$DG),"")</f>
        <v>78</v>
      </c>
      <c r="AC99" s="141">
        <f>IFERROR(_xlfn.XLOOKUP($D99,'Modelling New'!$D:$D,'Modelling New'!$J:$J),"")</f>
        <v>7.6000000000000005</v>
      </c>
      <c r="AD99" s="123">
        <f>IFERROR(_xlfn.XLOOKUP($D99,'Modelling New'!$D:$D,'Modelling New'!$T:$T)*1000,"")</f>
        <v>585797.81940673687</v>
      </c>
      <c r="AE99" s="140"/>
      <c r="AF99" s="140">
        <f>IFERROR(_xlfn.XLOOKUP($D99,'Modelling New'!$D:$D,'Modelling New'!$W:$W),"")</f>
        <v>0.31292618558052182</v>
      </c>
      <c r="AG99" s="140">
        <f>IFERROR(_xlfn.XLOOKUP($D99,'Modelling New'!$D:$D,'Modelling New'!$AE:$AE),"")</f>
        <v>0.96029999999999993</v>
      </c>
      <c r="AH99" s="140">
        <f>IFERROR(_xlfn.XLOOKUP($D99,'Modelling New'!$D:$D,'Modelling New'!$AF:$AF),"")</f>
        <v>0.995</v>
      </c>
      <c r="AI99" s="121">
        <f>IFERROR(_xlfn.XLOOKUP($A99,Input_Raw!$A:$A,Input_Raw!$DE:$DE),"")</f>
        <v>804.98299999999995</v>
      </c>
      <c r="AJ99" s="121"/>
      <c r="AK99" s="121"/>
      <c r="AL99" s="121"/>
      <c r="AM99" s="121"/>
      <c r="AN99" s="142">
        <f>IFERROR(_xlfn.XLOOKUP($A99,Input_Raw!$A:$A,Input_Raw!$DB:$DB),"")</f>
        <v>4.2025732220432044E-3</v>
      </c>
      <c r="AO99" s="140">
        <f>IFERROR((_xlfn.XLOOKUP($A99,'WTG Reactive Power'!$A:$A,'WTG Reactive Power'!$AR:$AR))/X99/1000,"")</f>
        <v>0</v>
      </c>
      <c r="AP99" s="140">
        <f>IFERROR(_xlfn.XLOOKUP($D99,'Modelling New'!$D:$D,'Modelling New'!$AK:$AK),"")</f>
        <v>0.05</v>
      </c>
      <c r="AQ99" s="140">
        <f>IFERROR(_xlfn.XLOOKUP($D99,'Modelling New'!$D:$D,'Modelling New'!$AL:$AL),"")</f>
        <v>0.05</v>
      </c>
      <c r="AR99">
        <f>IFERROR(_xlfn.XLOOKUP($D99,'Modelling New'!$D:$D,'Modelling New'!$N:$N),"")</f>
        <v>78</v>
      </c>
    </row>
    <row r="100" spans="1:44">
      <c r="A100" s="134">
        <f t="shared" si="7"/>
        <v>45843</v>
      </c>
      <c r="B100" s="123">
        <f>YEAR(Table13[[#This Row],[Date]])+IF(MONTH(Table13[[#This Row],[Date]])&gt;=4,1,0)</f>
        <v>2026</v>
      </c>
      <c r="C100" s="121">
        <f>YEAR(Table13[[#This Row],[Date]])</f>
        <v>2025</v>
      </c>
      <c r="D100" s="135">
        <f>Table13[[#This Row],[Date]]-DAY(Table13[[#This Row],[Date]])+1</f>
        <v>45839</v>
      </c>
      <c r="E100" s="121">
        <f t="shared" ref="E100:E163" si="8">DAY(EOMONTH(A100,0))</f>
        <v>31</v>
      </c>
      <c r="F100" s="124"/>
      <c r="G100" s="125"/>
      <c r="H100" s="125"/>
      <c r="I100" s="125"/>
      <c r="J100" s="125"/>
      <c r="K100" s="136"/>
      <c r="L100" s="125"/>
      <c r="M100" s="125">
        <f>IFERROR(_xlfn.XLOOKUP($A100,Input_Raw!$A:$A,Input_Raw!CG:CG),"")</f>
        <v>6.609230769230769</v>
      </c>
      <c r="N100" s="125">
        <f>IFERROR(_xlfn.XLOOKUP($A100,Input_Raw!$A:$A,Input_Raw!CH:CH),"")</f>
        <v>0</v>
      </c>
      <c r="O100" s="137">
        <f t="shared" si="6"/>
        <v>0.89698480608798048</v>
      </c>
      <c r="P100" s="137">
        <f>IFERROR(1-SUMIF(WTG_BD!$F:$F,$A100,WTG_BD!$AA:$AA)/($AA100+SUMIF(WTG_BD!$F:$F,$A100,WTG_BD!$AA:$AA)),"")</f>
        <v>0.91959574024840973</v>
      </c>
      <c r="Q100" s="138">
        <f>IFERROR(1-SUMIF(IGA_BD!$F:$F,$A100,IGA_BD!$V:$V)/($AA100+SUMIF(IGA_BD!$F:$F,$A100,IGA_BD!$V:$V)),"")</f>
        <v>0.9754120934114795</v>
      </c>
      <c r="R100" s="143">
        <f>IFERROR(1-SUMIF(Grid_BD!$F:$F,$A100,Grid_BD!$X:$X)/($AA100+SUMIF(Grid_BD!$F:$F,$A100,Grid_BD!$X:$X)),"")</f>
        <v>1</v>
      </c>
      <c r="S100" s="121"/>
      <c r="T100" s="138"/>
      <c r="U100" s="139"/>
      <c r="V100" s="121"/>
      <c r="W100" s="140">
        <f>IFERROR(Table13[[#This Row],[Mtr_Net_Exp (KWh)]]/(24*AR100*1000),"")</f>
        <v>0.42948717948717946</v>
      </c>
      <c r="X100" s="121">
        <f>IFERROR(_xlfn.XLOOKUP($A100,Input_Raw!$A:$A,Input_Raw!$CF:$CF),"")</f>
        <v>807243</v>
      </c>
      <c r="Y100" s="121">
        <f>IFERROR(_xlfn.XLOOKUP($A100,Input_Raw!$A:$A,Input_Raw!$CZ:$CZ),"")</f>
        <v>804000</v>
      </c>
      <c r="Z100" s="121">
        <f>IFERROR(_xlfn.XLOOKUP($A100,Input_Raw!$A:$A,Input_Raw!$DA:$DA),"")</f>
        <v>0</v>
      </c>
      <c r="AA100" s="123">
        <f t="shared" ref="AA100:AA163" si="9">IFERROR(Y100-Z100,"")</f>
        <v>804000</v>
      </c>
      <c r="AB100" s="121">
        <f>IFERROR(_xlfn.XLOOKUP($A100,Input_Raw!$A:$A,Input_Raw!$DG:$DG),"")</f>
        <v>78</v>
      </c>
      <c r="AC100" s="141">
        <f>IFERROR(_xlfn.XLOOKUP($D100,'Modelling New'!$D:$D,'Modelling New'!$J:$J),"")</f>
        <v>7.6000000000000005</v>
      </c>
      <c r="AD100" s="123">
        <f>IFERROR(_xlfn.XLOOKUP($D100,'Modelling New'!$D:$D,'Modelling New'!$T:$T)*1000,"")</f>
        <v>585797.81940673687</v>
      </c>
      <c r="AE100" s="140"/>
      <c r="AF100" s="140">
        <f>IFERROR(_xlfn.XLOOKUP($D100,'Modelling New'!$D:$D,'Modelling New'!$W:$W),"")</f>
        <v>0.31292618558052182</v>
      </c>
      <c r="AG100" s="140">
        <f>IFERROR(_xlfn.XLOOKUP($D100,'Modelling New'!$D:$D,'Modelling New'!$AE:$AE),"")</f>
        <v>0.96029999999999993</v>
      </c>
      <c r="AH100" s="140">
        <f>IFERROR(_xlfn.XLOOKUP($D100,'Modelling New'!$D:$D,'Modelling New'!$AF:$AF),"")</f>
        <v>0.995</v>
      </c>
      <c r="AI100" s="121">
        <f>IFERROR(_xlfn.XLOOKUP($A100,Input_Raw!$A:$A,Input_Raw!$DE:$DE),"")</f>
        <v>807.24300000000005</v>
      </c>
      <c r="AJ100" s="121"/>
      <c r="AK100" s="121"/>
      <c r="AL100" s="121"/>
      <c r="AM100" s="121"/>
      <c r="AN100" s="142">
        <f>IFERROR(_xlfn.XLOOKUP($A100,Input_Raw!$A:$A,Input_Raw!$DB:$DB),"")</f>
        <v>4.0173776669478745E-3</v>
      </c>
      <c r="AO100" s="140">
        <f>IFERROR((_xlfn.XLOOKUP($A100,'WTG Reactive Power'!$A:$A,'WTG Reactive Power'!$AR:$AR))/X100/1000,"")</f>
        <v>0</v>
      </c>
      <c r="AP100" s="140">
        <f>IFERROR(_xlfn.XLOOKUP($D100,'Modelling New'!$D:$D,'Modelling New'!$AK:$AK),"")</f>
        <v>0.05</v>
      </c>
      <c r="AQ100" s="140">
        <f>IFERROR(_xlfn.XLOOKUP($D100,'Modelling New'!$D:$D,'Modelling New'!$AL:$AL),"")</f>
        <v>0.05</v>
      </c>
      <c r="AR100">
        <f>IFERROR(_xlfn.XLOOKUP($D100,'Modelling New'!$D:$D,'Modelling New'!$N:$N),"")</f>
        <v>78</v>
      </c>
    </row>
    <row r="101" spans="1:44">
      <c r="A101" s="134">
        <f t="shared" si="7"/>
        <v>45844</v>
      </c>
      <c r="B101" s="123">
        <f>YEAR(Table13[[#This Row],[Date]])+IF(MONTH(Table13[[#This Row],[Date]])&gt;=4,1,0)</f>
        <v>2026</v>
      </c>
      <c r="C101" s="121">
        <f>YEAR(Table13[[#This Row],[Date]])</f>
        <v>2025</v>
      </c>
      <c r="D101" s="135">
        <f>Table13[[#This Row],[Date]]-DAY(Table13[[#This Row],[Date]])+1</f>
        <v>45839</v>
      </c>
      <c r="E101" s="121">
        <f t="shared" si="8"/>
        <v>31</v>
      </c>
      <c r="F101" s="124"/>
      <c r="G101" s="125"/>
      <c r="H101" s="125"/>
      <c r="I101" s="125"/>
      <c r="J101" s="125"/>
      <c r="K101" s="136"/>
      <c r="L101" s="125"/>
      <c r="M101" s="125">
        <f>IFERROR(_xlfn.XLOOKUP($A101,Input_Raw!$A:$A,Input_Raw!CG:CG),"")</f>
        <v>8.6466945508751873</v>
      </c>
      <c r="N101" s="125">
        <f>IFERROR(_xlfn.XLOOKUP($A101,Input_Raw!$A:$A,Input_Raw!CH:CH),"")</f>
        <v>0</v>
      </c>
      <c r="O101" s="137">
        <f t="shared" ref="O101:O164" si="10">IFERROR(P101*Q101,"")</f>
        <v>0.91199215382181587</v>
      </c>
      <c r="P101" s="137">
        <f>IFERROR(1-SUMIF(WTG_BD!$F:$F,$A101,WTG_BD!$AA:$AA)/($AA101+SUMIF(WTG_BD!$F:$F,$A101,WTG_BD!$AA:$AA)),"")</f>
        <v>0.91199215382181587</v>
      </c>
      <c r="Q101" s="138">
        <f>IFERROR(1-SUMIF(IGA_BD!$F:$F,$A101,IGA_BD!$V:$V)/($AA101+SUMIF(IGA_BD!$F:$F,$A101,IGA_BD!$V:$V)),"")</f>
        <v>1</v>
      </c>
      <c r="R101" s="143">
        <f>IFERROR(1-SUMIF(Grid_BD!$F:$F,$A101,Grid_BD!$X:$X)/($AA101+SUMIF(Grid_BD!$F:$F,$A101,Grid_BD!$X:$X)),"")</f>
        <v>1</v>
      </c>
      <c r="S101" s="121"/>
      <c r="T101" s="138"/>
      <c r="U101" s="139"/>
      <c r="V101" s="121"/>
      <c r="W101" s="140">
        <f>IFERROR(Table13[[#This Row],[Mtr_Net_Exp (KWh)]]/(24*AR101*1000),"")</f>
        <v>0.56153846153846154</v>
      </c>
      <c r="X101" s="121">
        <f>IFERROR(_xlfn.XLOOKUP($A101,Input_Raw!$A:$A,Input_Raw!$CF:$CF),"")</f>
        <v>1068626</v>
      </c>
      <c r="Y101" s="121">
        <f>IFERROR(_xlfn.XLOOKUP($A101,Input_Raw!$A:$A,Input_Raw!$CZ:$CZ),"")</f>
        <v>1051200</v>
      </c>
      <c r="Z101" s="121">
        <f>IFERROR(_xlfn.XLOOKUP($A101,Input_Raw!$A:$A,Input_Raw!$DA:$DA),"")</f>
        <v>0</v>
      </c>
      <c r="AA101" s="123">
        <f t="shared" si="9"/>
        <v>1051200</v>
      </c>
      <c r="AB101" s="121">
        <f>IFERROR(_xlfn.XLOOKUP($A101,Input_Raw!$A:$A,Input_Raw!$DG:$DG),"")</f>
        <v>78</v>
      </c>
      <c r="AC101" s="141">
        <f>IFERROR(_xlfn.XLOOKUP($D101,'Modelling New'!$D:$D,'Modelling New'!$J:$J),"")</f>
        <v>7.6000000000000005</v>
      </c>
      <c r="AD101" s="123">
        <f>IFERROR(_xlfn.XLOOKUP($D101,'Modelling New'!$D:$D,'Modelling New'!$T:$T)*1000,"")</f>
        <v>585797.81940673687</v>
      </c>
      <c r="AE101" s="140"/>
      <c r="AF101" s="140">
        <f>IFERROR(_xlfn.XLOOKUP($D101,'Modelling New'!$D:$D,'Modelling New'!$W:$W),"")</f>
        <v>0.31292618558052182</v>
      </c>
      <c r="AG101" s="140">
        <f>IFERROR(_xlfn.XLOOKUP($D101,'Modelling New'!$D:$D,'Modelling New'!$AE:$AE),"")</f>
        <v>0.96029999999999993</v>
      </c>
      <c r="AH101" s="140">
        <f>IFERROR(_xlfn.XLOOKUP($D101,'Modelling New'!$D:$D,'Modelling New'!$AF:$AF),"")</f>
        <v>0.995</v>
      </c>
      <c r="AI101" s="121">
        <f>IFERROR(_xlfn.XLOOKUP($A101,Input_Raw!$A:$A,Input_Raw!$DE:$DE),"")</f>
        <v>1068.626</v>
      </c>
      <c r="AJ101" s="121"/>
      <c r="AK101" s="121"/>
      <c r="AL101" s="121"/>
      <c r="AM101" s="121"/>
      <c r="AN101" s="142">
        <f>IFERROR(_xlfn.XLOOKUP($A101,Input_Raw!$A:$A,Input_Raw!$DB:$DB),"")</f>
        <v>1.6306921224076509E-2</v>
      </c>
      <c r="AO101" s="140">
        <f>IFERROR((_xlfn.XLOOKUP($A101,'WTG Reactive Power'!$A:$A,'WTG Reactive Power'!$AR:$AR))/X101/1000,"")</f>
        <v>0</v>
      </c>
      <c r="AP101" s="140">
        <f>IFERROR(_xlfn.XLOOKUP($D101,'Modelling New'!$D:$D,'Modelling New'!$AK:$AK),"")</f>
        <v>0.05</v>
      </c>
      <c r="AQ101" s="140">
        <f>IFERROR(_xlfn.XLOOKUP($D101,'Modelling New'!$D:$D,'Modelling New'!$AL:$AL),"")</f>
        <v>0.05</v>
      </c>
      <c r="AR101">
        <f>IFERROR(_xlfn.XLOOKUP($D101,'Modelling New'!$D:$D,'Modelling New'!$N:$N),"")</f>
        <v>78</v>
      </c>
    </row>
    <row r="102" spans="1:44">
      <c r="A102" s="134">
        <f t="shared" ref="A102:A165" si="11">A101+1</f>
        <v>45845</v>
      </c>
      <c r="B102" s="123">
        <f>YEAR(Table13[[#This Row],[Date]])+IF(MONTH(Table13[[#This Row],[Date]])&gt;=4,1,0)</f>
        <v>2026</v>
      </c>
      <c r="C102" s="121">
        <f>YEAR(Table13[[#This Row],[Date]])</f>
        <v>2025</v>
      </c>
      <c r="D102" s="135">
        <f>Table13[[#This Row],[Date]]-DAY(Table13[[#This Row],[Date]])+1</f>
        <v>45839</v>
      </c>
      <c r="E102" s="121">
        <f t="shared" si="8"/>
        <v>31</v>
      </c>
      <c r="F102" s="124"/>
      <c r="G102" s="125"/>
      <c r="H102" s="125"/>
      <c r="I102" s="125"/>
      <c r="J102" s="125"/>
      <c r="K102" s="136"/>
      <c r="L102" s="125"/>
      <c r="M102" s="125">
        <f>IFERROR(_xlfn.XLOOKUP($A102,Input_Raw!$A:$A,Input_Raw!CG:CG),"")</f>
        <v>4.6705128205128208</v>
      </c>
      <c r="N102" s="125">
        <f>IFERROR(_xlfn.XLOOKUP($A102,Input_Raw!$A:$A,Input_Raw!CH:CH),"")</f>
        <v>0</v>
      </c>
      <c r="O102" s="137">
        <f t="shared" si="10"/>
        <v>0.92034587129612799</v>
      </c>
      <c r="P102" s="137">
        <f>IFERROR(1-SUMIF(WTG_BD!$F:$F,$A102,WTG_BD!$AA:$AA)/($AA102+SUMIF(WTG_BD!$F:$F,$A102,WTG_BD!$AA:$AA)),"")</f>
        <v>0.92229347190255773</v>
      </c>
      <c r="Q102" s="138">
        <f>IFERROR(1-SUMIF(IGA_BD!$F:$F,$A102,IGA_BD!$V:$V)/($AA102+SUMIF(IGA_BD!$F:$F,$A102,IGA_BD!$V:$V)),"")</f>
        <v>0.99788830706736753</v>
      </c>
      <c r="R102" s="143">
        <f>IFERROR(1-SUMIF(Grid_BD!$F:$F,$A102,Grid_BD!$X:$X)/($AA102+SUMIF(Grid_BD!$F:$F,$A102,Grid_BD!$X:$X)),"")</f>
        <v>1</v>
      </c>
      <c r="S102" s="121"/>
      <c r="T102" s="138"/>
      <c r="U102" s="139"/>
      <c r="V102" s="121"/>
      <c r="W102" s="140">
        <f>IFERROR(Table13[[#This Row],[Mtr_Net_Exp (KWh)]]/(24*AR102*1000),"")</f>
        <v>0.21153846153846154</v>
      </c>
      <c r="X102" s="121">
        <f>IFERROR(_xlfn.XLOOKUP($A102,Input_Raw!$A:$A,Input_Raw!$CF:$CF),"")</f>
        <v>398921</v>
      </c>
      <c r="Y102" s="121">
        <f>IFERROR(_xlfn.XLOOKUP($A102,Input_Raw!$A:$A,Input_Raw!$CZ:$CZ),"")</f>
        <v>396000</v>
      </c>
      <c r="Z102" s="121">
        <f>IFERROR(_xlfn.XLOOKUP($A102,Input_Raw!$A:$A,Input_Raw!$DA:$DA),"")</f>
        <v>0</v>
      </c>
      <c r="AA102" s="123">
        <f t="shared" si="9"/>
        <v>396000</v>
      </c>
      <c r="AB102" s="121">
        <f>IFERROR(_xlfn.XLOOKUP($A102,Input_Raw!$A:$A,Input_Raw!$DG:$DG),"")</f>
        <v>78</v>
      </c>
      <c r="AC102" s="141">
        <f>IFERROR(_xlfn.XLOOKUP($D102,'Modelling New'!$D:$D,'Modelling New'!$J:$J),"")</f>
        <v>7.6000000000000005</v>
      </c>
      <c r="AD102" s="123">
        <f>IFERROR(_xlfn.XLOOKUP($D102,'Modelling New'!$D:$D,'Modelling New'!$T:$T)*1000,"")</f>
        <v>585797.81940673687</v>
      </c>
      <c r="AE102" s="140"/>
      <c r="AF102" s="140">
        <f>IFERROR(_xlfn.XLOOKUP($D102,'Modelling New'!$D:$D,'Modelling New'!$W:$W),"")</f>
        <v>0.31292618558052182</v>
      </c>
      <c r="AG102" s="140">
        <f>IFERROR(_xlfn.XLOOKUP($D102,'Modelling New'!$D:$D,'Modelling New'!$AE:$AE),"")</f>
        <v>0.96029999999999993</v>
      </c>
      <c r="AH102" s="140">
        <f>IFERROR(_xlfn.XLOOKUP($D102,'Modelling New'!$D:$D,'Modelling New'!$AF:$AF),"")</f>
        <v>0.995</v>
      </c>
      <c r="AI102" s="121">
        <f>IFERROR(_xlfn.XLOOKUP($A102,Input_Raw!$A:$A,Input_Raw!$DE:$DE),"")</f>
        <v>398.92099999999999</v>
      </c>
      <c r="AJ102" s="121"/>
      <c r="AK102" s="121"/>
      <c r="AL102" s="121"/>
      <c r="AM102" s="121"/>
      <c r="AN102" s="142">
        <f>IFERROR(_xlfn.XLOOKUP($A102,Input_Raw!$A:$A,Input_Raw!$DB:$DB),"")</f>
        <v>7.3222517741607929E-3</v>
      </c>
      <c r="AO102" s="140">
        <f>IFERROR((_xlfn.XLOOKUP($A102,'WTG Reactive Power'!$A:$A,'WTG Reactive Power'!$AR:$AR))/X102/1000,"")</f>
        <v>5.8536279993661272E-6</v>
      </c>
      <c r="AP102" s="140">
        <f>IFERROR(_xlfn.XLOOKUP($D102,'Modelling New'!$D:$D,'Modelling New'!$AK:$AK),"")</f>
        <v>0.05</v>
      </c>
      <c r="AQ102" s="140">
        <f>IFERROR(_xlfn.XLOOKUP($D102,'Modelling New'!$D:$D,'Modelling New'!$AL:$AL),"")</f>
        <v>0.05</v>
      </c>
      <c r="AR102">
        <f>IFERROR(_xlfn.XLOOKUP($D102,'Modelling New'!$D:$D,'Modelling New'!$N:$N),"")</f>
        <v>78</v>
      </c>
    </row>
    <row r="103" spans="1:44">
      <c r="A103" s="134">
        <f t="shared" si="11"/>
        <v>45846</v>
      </c>
      <c r="B103" s="123">
        <f>YEAR(Table13[[#This Row],[Date]])+IF(MONTH(Table13[[#This Row],[Date]])&gt;=4,1,0)</f>
        <v>2026</v>
      </c>
      <c r="C103" s="121">
        <f>YEAR(Table13[[#This Row],[Date]])</f>
        <v>2025</v>
      </c>
      <c r="D103" s="135">
        <f>Table13[[#This Row],[Date]]-DAY(Table13[[#This Row],[Date]])+1</f>
        <v>45839</v>
      </c>
      <c r="E103" s="121">
        <f t="shared" si="8"/>
        <v>31</v>
      </c>
      <c r="F103" s="124"/>
      <c r="G103" s="125"/>
      <c r="H103" s="125"/>
      <c r="I103" s="125"/>
      <c r="J103" s="125"/>
      <c r="K103" s="136"/>
      <c r="L103" s="125"/>
      <c r="M103" s="125">
        <f>IFERROR(_xlfn.XLOOKUP($A103,Input_Raw!$A:$A,Input_Raw!CG:CG),"")</f>
        <v>5.4123076923076923</v>
      </c>
      <c r="N103" s="125">
        <f>IFERROR(_xlfn.XLOOKUP($A103,Input_Raw!$A:$A,Input_Raw!CH:CH),"")</f>
        <v>0</v>
      </c>
      <c r="O103" s="137">
        <f t="shared" si="10"/>
        <v>0.90227831116574631</v>
      </c>
      <c r="P103" s="137">
        <f>IFERROR(1-SUMIF(WTG_BD!$F:$F,$A103,WTG_BD!$AA:$AA)/($AA103+SUMIF(WTG_BD!$F:$F,$A103,WTG_BD!$AA:$AA)),"")</f>
        <v>0.9108765641615898</v>
      </c>
      <c r="Q103" s="138">
        <f>IFERROR(1-SUMIF(IGA_BD!$F:$F,$A103,IGA_BD!$V:$V)/($AA103+SUMIF(IGA_BD!$F:$F,$A103,IGA_BD!$V:$V)),"")</f>
        <v>0.99056046303731871</v>
      </c>
      <c r="R103" s="143">
        <f>IFERROR(1-SUMIF(Grid_BD!$F:$F,$A103,Grid_BD!$X:$X)/($AA103+SUMIF(Grid_BD!$F:$F,$A103,Grid_BD!$X:$X)),"")</f>
        <v>1</v>
      </c>
      <c r="S103" s="121"/>
      <c r="T103" s="138"/>
      <c r="U103" s="139"/>
      <c r="V103" s="121"/>
      <c r="W103" s="140">
        <f>IFERROR(Table13[[#This Row],[Mtr_Net_Exp (KWh)]]/(24*AR103*1000),"")</f>
        <v>0.29102564102564105</v>
      </c>
      <c r="X103" s="121">
        <f>IFERROR(_xlfn.XLOOKUP($A103,Input_Raw!$A:$A,Input_Raw!$CF:$CF),"")</f>
        <v>548000</v>
      </c>
      <c r="Y103" s="121">
        <f>IFERROR(_xlfn.XLOOKUP($A103,Input_Raw!$A:$A,Input_Raw!$CZ:$CZ),"")</f>
        <v>544800</v>
      </c>
      <c r="Z103" s="121">
        <f>IFERROR(_xlfn.XLOOKUP($A103,Input_Raw!$A:$A,Input_Raw!$DA:$DA),"")</f>
        <v>0</v>
      </c>
      <c r="AA103" s="123">
        <f t="shared" si="9"/>
        <v>544800</v>
      </c>
      <c r="AB103" s="121">
        <f>IFERROR(_xlfn.XLOOKUP($A103,Input_Raw!$A:$A,Input_Raw!$DG:$DG),"")</f>
        <v>78</v>
      </c>
      <c r="AC103" s="141">
        <f>IFERROR(_xlfn.XLOOKUP($D103,'Modelling New'!$D:$D,'Modelling New'!$J:$J),"")</f>
        <v>7.6000000000000005</v>
      </c>
      <c r="AD103" s="123">
        <f>IFERROR(_xlfn.XLOOKUP($D103,'Modelling New'!$D:$D,'Modelling New'!$T:$T)*1000,"")</f>
        <v>585797.81940673687</v>
      </c>
      <c r="AE103" s="140"/>
      <c r="AF103" s="140">
        <f>IFERROR(_xlfn.XLOOKUP($D103,'Modelling New'!$D:$D,'Modelling New'!$W:$W),"")</f>
        <v>0.31292618558052182</v>
      </c>
      <c r="AG103" s="140">
        <f>IFERROR(_xlfn.XLOOKUP($D103,'Modelling New'!$D:$D,'Modelling New'!$AE:$AE),"")</f>
        <v>0.96029999999999993</v>
      </c>
      <c r="AH103" s="140">
        <f>IFERROR(_xlfn.XLOOKUP($D103,'Modelling New'!$D:$D,'Modelling New'!$AF:$AF),"")</f>
        <v>0.995</v>
      </c>
      <c r="AI103" s="121">
        <f>IFERROR(_xlfn.XLOOKUP($A103,Input_Raw!$A:$A,Input_Raw!$DE:$DE),"")</f>
        <v>548</v>
      </c>
      <c r="AJ103" s="121"/>
      <c r="AK103" s="121"/>
      <c r="AL103" s="121"/>
      <c r="AM103" s="121"/>
      <c r="AN103" s="142">
        <f>IFERROR(_xlfn.XLOOKUP($A103,Input_Raw!$A:$A,Input_Raw!$DB:$DB),"")</f>
        <v>5.839416058394109E-3</v>
      </c>
      <c r="AO103" s="140">
        <f>IFERROR((_xlfn.XLOOKUP($A103,'WTG Reactive Power'!$A:$A,'WTG Reactive Power'!$AR:$AR))/X103/1000,"")</f>
        <v>0</v>
      </c>
      <c r="AP103" s="140">
        <f>IFERROR(_xlfn.XLOOKUP($D103,'Modelling New'!$D:$D,'Modelling New'!$AK:$AK),"")</f>
        <v>0.05</v>
      </c>
      <c r="AQ103" s="140">
        <f>IFERROR(_xlfn.XLOOKUP($D103,'Modelling New'!$D:$D,'Modelling New'!$AL:$AL),"")</f>
        <v>0.05</v>
      </c>
      <c r="AR103">
        <f>IFERROR(_xlfn.XLOOKUP($D103,'Modelling New'!$D:$D,'Modelling New'!$N:$N),"")</f>
        <v>78</v>
      </c>
    </row>
    <row r="104" spans="1:44">
      <c r="A104" s="134">
        <f t="shared" si="11"/>
        <v>45847</v>
      </c>
      <c r="B104" s="123">
        <f>YEAR(Table13[[#This Row],[Date]])+IF(MONTH(Table13[[#This Row],[Date]])&gt;=4,1,0)</f>
        <v>2026</v>
      </c>
      <c r="C104" s="121">
        <f>YEAR(Table13[[#This Row],[Date]])</f>
        <v>2025</v>
      </c>
      <c r="D104" s="135">
        <f>Table13[[#This Row],[Date]]-DAY(Table13[[#This Row],[Date]])+1</f>
        <v>45839</v>
      </c>
      <c r="E104" s="121">
        <f t="shared" si="8"/>
        <v>31</v>
      </c>
      <c r="F104" s="124"/>
      <c r="G104" s="125"/>
      <c r="H104" s="125"/>
      <c r="I104" s="125"/>
      <c r="J104" s="125"/>
      <c r="K104" s="136"/>
      <c r="L104" s="125"/>
      <c r="M104" s="125">
        <f>IFERROR(_xlfn.XLOOKUP($A104,Input_Raw!$A:$A,Input_Raw!CG:CG),"")</f>
        <v>4.6851282051282048</v>
      </c>
      <c r="N104" s="125">
        <f>IFERROR(_xlfn.XLOOKUP($A104,Input_Raw!$A:$A,Input_Raw!CH:CH),"")</f>
        <v>0</v>
      </c>
      <c r="O104" s="137">
        <f t="shared" si="10"/>
        <v>0.92571711298995629</v>
      </c>
      <c r="P104" s="137">
        <f>IFERROR(1-SUMIF(WTG_BD!$F:$F,$A104,WTG_BD!$AA:$AA)/($AA104+SUMIF(WTG_BD!$F:$F,$A104,WTG_BD!$AA:$AA)),"")</f>
        <v>0.92571711298995629</v>
      </c>
      <c r="Q104" s="138">
        <f>IFERROR(1-SUMIF(IGA_BD!$F:$F,$A104,IGA_BD!$V:$V)/($AA104+SUMIF(IGA_BD!$F:$F,$A104,IGA_BD!$V:$V)),"")</f>
        <v>1</v>
      </c>
      <c r="R104" s="143">
        <f>IFERROR(1-SUMIF(Grid_BD!$F:$F,$A104,Grid_BD!$X:$X)/($AA104+SUMIF(Grid_BD!$F:$F,$A104,Grid_BD!$X:$X)),"")</f>
        <v>1</v>
      </c>
      <c r="S104" s="121"/>
      <c r="T104" s="138"/>
      <c r="U104" s="139"/>
      <c r="V104" s="121"/>
      <c r="W104" s="140">
        <f>IFERROR(Table13[[#This Row],[Mtr_Net_Exp (KWh)]]/(24*AR104*1000),"")</f>
        <v>0.1891025641025641</v>
      </c>
      <c r="X104" s="121">
        <f>IFERROR(_xlfn.XLOOKUP($A104,Input_Raw!$A:$A,Input_Raw!$CF:$CF),"")</f>
        <v>357020</v>
      </c>
      <c r="Y104" s="121">
        <f>IFERROR(_xlfn.XLOOKUP($A104,Input_Raw!$A:$A,Input_Raw!$CZ:$CZ),"")</f>
        <v>354000</v>
      </c>
      <c r="Z104" s="121">
        <f>IFERROR(_xlfn.XLOOKUP($A104,Input_Raw!$A:$A,Input_Raw!$DA:$DA),"")</f>
        <v>0</v>
      </c>
      <c r="AA104" s="123">
        <f t="shared" si="9"/>
        <v>354000</v>
      </c>
      <c r="AB104" s="121">
        <f>IFERROR(_xlfn.XLOOKUP($A104,Input_Raw!$A:$A,Input_Raw!$DG:$DG),"")</f>
        <v>78</v>
      </c>
      <c r="AC104" s="141">
        <f>IFERROR(_xlfn.XLOOKUP($D104,'Modelling New'!$D:$D,'Modelling New'!$J:$J),"")</f>
        <v>7.6000000000000005</v>
      </c>
      <c r="AD104" s="123">
        <f>IFERROR(_xlfn.XLOOKUP($D104,'Modelling New'!$D:$D,'Modelling New'!$T:$T)*1000,"")</f>
        <v>585797.81940673687</v>
      </c>
      <c r="AE104" s="140"/>
      <c r="AF104" s="140">
        <f>IFERROR(_xlfn.XLOOKUP($D104,'Modelling New'!$D:$D,'Modelling New'!$W:$W),"")</f>
        <v>0.31292618558052182</v>
      </c>
      <c r="AG104" s="140">
        <f>IFERROR(_xlfn.XLOOKUP($D104,'Modelling New'!$D:$D,'Modelling New'!$AE:$AE),"")</f>
        <v>0.96029999999999993</v>
      </c>
      <c r="AH104" s="140">
        <f>IFERROR(_xlfn.XLOOKUP($D104,'Modelling New'!$D:$D,'Modelling New'!$AF:$AF),"")</f>
        <v>0.995</v>
      </c>
      <c r="AI104" s="121">
        <f>IFERROR(_xlfn.XLOOKUP($A104,Input_Raw!$A:$A,Input_Raw!$DE:$DE),"")</f>
        <v>357.02</v>
      </c>
      <c r="AJ104" s="121"/>
      <c r="AK104" s="121"/>
      <c r="AL104" s="121"/>
      <c r="AM104" s="121"/>
      <c r="AN104" s="142">
        <f>IFERROR(_xlfn.XLOOKUP($A104,Input_Raw!$A:$A,Input_Raw!$DB:$DB),"")</f>
        <v>8.4589098649935357E-3</v>
      </c>
      <c r="AO104" s="140">
        <f>IFERROR((_xlfn.XLOOKUP($A104,'WTG Reactive Power'!$A:$A,'WTG Reactive Power'!$AR:$AR))/X104/1000,"")</f>
        <v>0</v>
      </c>
      <c r="AP104" s="140">
        <f>IFERROR(_xlfn.XLOOKUP($D104,'Modelling New'!$D:$D,'Modelling New'!$AK:$AK),"")</f>
        <v>0.05</v>
      </c>
      <c r="AQ104" s="140">
        <f>IFERROR(_xlfn.XLOOKUP($D104,'Modelling New'!$D:$D,'Modelling New'!$AL:$AL),"")</f>
        <v>0.05</v>
      </c>
      <c r="AR104">
        <f>IFERROR(_xlfn.XLOOKUP($D104,'Modelling New'!$D:$D,'Modelling New'!$N:$N),"")</f>
        <v>78</v>
      </c>
    </row>
    <row r="105" spans="1:44">
      <c r="A105" s="134">
        <f t="shared" si="11"/>
        <v>45848</v>
      </c>
      <c r="B105" s="123">
        <f>YEAR(Table13[[#This Row],[Date]])+IF(MONTH(Table13[[#This Row],[Date]])&gt;=4,1,0)</f>
        <v>2026</v>
      </c>
      <c r="C105" s="121">
        <f>YEAR(Table13[[#This Row],[Date]])</f>
        <v>2025</v>
      </c>
      <c r="D105" s="135">
        <f>Table13[[#This Row],[Date]]-DAY(Table13[[#This Row],[Date]])+1</f>
        <v>45839</v>
      </c>
      <c r="E105" s="121">
        <f t="shared" si="8"/>
        <v>31</v>
      </c>
      <c r="F105" s="124"/>
      <c r="G105" s="125"/>
      <c r="H105" s="125"/>
      <c r="I105" s="125"/>
      <c r="J105" s="125"/>
      <c r="K105" s="136"/>
      <c r="L105" s="125"/>
      <c r="M105" s="125">
        <f>IFERROR(_xlfn.XLOOKUP($A105,Input_Raw!$A:$A,Input_Raw!CG:CG),"")</f>
        <v>3.4600000000000009</v>
      </c>
      <c r="N105" s="125">
        <f>IFERROR(_xlfn.XLOOKUP($A105,Input_Raw!$A:$A,Input_Raw!CH:CH),"")</f>
        <v>0</v>
      </c>
      <c r="O105" s="137">
        <f t="shared" si="10"/>
        <v>0.91642836407047479</v>
      </c>
      <c r="P105" s="137">
        <f>IFERROR(1-SUMIF(WTG_BD!$F:$F,$A105,WTG_BD!$AA:$AA)/($AA105+SUMIF(WTG_BD!$F:$F,$A105,WTG_BD!$AA:$AA)),"")</f>
        <v>0.91642836407047479</v>
      </c>
      <c r="Q105" s="138">
        <f>IFERROR(1-SUMIF(IGA_BD!$F:$F,$A105,IGA_BD!$V:$V)/($AA105+SUMIF(IGA_BD!$F:$F,$A105,IGA_BD!$V:$V)),"")</f>
        <v>1</v>
      </c>
      <c r="R105" s="143">
        <f>IFERROR(1-SUMIF(Grid_BD!$F:$F,$A105,Grid_BD!$X:$X)/($AA105+SUMIF(Grid_BD!$F:$F,$A105,Grid_BD!$X:$X)),"")</f>
        <v>1</v>
      </c>
      <c r="S105" s="121"/>
      <c r="T105" s="138"/>
      <c r="U105" s="139"/>
      <c r="V105" s="121"/>
      <c r="W105" s="140">
        <f>IFERROR(Table13[[#This Row],[Mtr_Net_Exp (KWh)]]/(24*AR105*1000),"")</f>
        <v>9.8076923076923075E-2</v>
      </c>
      <c r="X105" s="121">
        <f>IFERROR(_xlfn.XLOOKUP($A105,Input_Raw!$A:$A,Input_Raw!$CF:$CF),"")</f>
        <v>186210</v>
      </c>
      <c r="Y105" s="121">
        <f>IFERROR(_xlfn.XLOOKUP($A105,Input_Raw!$A:$A,Input_Raw!$CZ:$CZ),"")</f>
        <v>183600</v>
      </c>
      <c r="Z105" s="121">
        <f>IFERROR(_xlfn.XLOOKUP($A105,Input_Raw!$A:$A,Input_Raw!$DA:$DA),"")</f>
        <v>0</v>
      </c>
      <c r="AA105" s="123">
        <f t="shared" si="9"/>
        <v>183600</v>
      </c>
      <c r="AB105" s="121">
        <f>IFERROR(_xlfn.XLOOKUP($A105,Input_Raw!$A:$A,Input_Raw!$DG:$DG),"")</f>
        <v>78</v>
      </c>
      <c r="AC105" s="141">
        <f>IFERROR(_xlfn.XLOOKUP($D105,'Modelling New'!$D:$D,'Modelling New'!$J:$J),"")</f>
        <v>7.6000000000000005</v>
      </c>
      <c r="AD105" s="123">
        <f>IFERROR(_xlfn.XLOOKUP($D105,'Modelling New'!$D:$D,'Modelling New'!$T:$T)*1000,"")</f>
        <v>585797.81940673687</v>
      </c>
      <c r="AE105" s="140"/>
      <c r="AF105" s="140">
        <f>IFERROR(_xlfn.XLOOKUP($D105,'Modelling New'!$D:$D,'Modelling New'!$W:$W),"")</f>
        <v>0.31292618558052182</v>
      </c>
      <c r="AG105" s="140">
        <f>IFERROR(_xlfn.XLOOKUP($D105,'Modelling New'!$D:$D,'Modelling New'!$AE:$AE),"")</f>
        <v>0.96029999999999993</v>
      </c>
      <c r="AH105" s="140">
        <f>IFERROR(_xlfn.XLOOKUP($D105,'Modelling New'!$D:$D,'Modelling New'!$AF:$AF),"")</f>
        <v>0.995</v>
      </c>
      <c r="AI105" s="121">
        <f>IFERROR(_xlfn.XLOOKUP($A105,Input_Raw!$A:$A,Input_Raw!$DE:$DE),"")</f>
        <v>186.21</v>
      </c>
      <c r="AJ105" s="121"/>
      <c r="AK105" s="121"/>
      <c r="AL105" s="121"/>
      <c r="AM105" s="121"/>
      <c r="AN105" s="142">
        <f>IFERROR(_xlfn.XLOOKUP($A105,Input_Raw!$A:$A,Input_Raw!$DB:$DB),"")</f>
        <v>1.4016433059448996E-2</v>
      </c>
      <c r="AO105" s="140">
        <f>IFERROR((_xlfn.XLOOKUP($A105,'WTG Reactive Power'!$A:$A,'WTG Reactive Power'!$AR:$AR))/X105/1000,"")</f>
        <v>6.253530959669187E-6</v>
      </c>
      <c r="AP105" s="140">
        <f>IFERROR(_xlfn.XLOOKUP($D105,'Modelling New'!$D:$D,'Modelling New'!$AK:$AK),"")</f>
        <v>0.05</v>
      </c>
      <c r="AQ105" s="140">
        <f>IFERROR(_xlfn.XLOOKUP($D105,'Modelling New'!$D:$D,'Modelling New'!$AL:$AL),"")</f>
        <v>0.05</v>
      </c>
      <c r="AR105">
        <f>IFERROR(_xlfn.XLOOKUP($D105,'Modelling New'!$D:$D,'Modelling New'!$N:$N),"")</f>
        <v>78</v>
      </c>
    </row>
    <row r="106" spans="1:44">
      <c r="A106" s="134">
        <f t="shared" si="11"/>
        <v>45849</v>
      </c>
      <c r="B106" s="123">
        <f>YEAR(Table13[[#This Row],[Date]])+IF(MONTH(Table13[[#This Row],[Date]])&gt;=4,1,0)</f>
        <v>2026</v>
      </c>
      <c r="C106" s="121">
        <f>YEAR(Table13[[#This Row],[Date]])</f>
        <v>2025</v>
      </c>
      <c r="D106" s="135">
        <f>Table13[[#This Row],[Date]]-DAY(Table13[[#This Row],[Date]])+1</f>
        <v>45839</v>
      </c>
      <c r="E106" s="121">
        <f t="shared" si="8"/>
        <v>31</v>
      </c>
      <c r="F106" s="124"/>
      <c r="G106" s="125"/>
      <c r="H106" s="125"/>
      <c r="I106" s="125"/>
      <c r="J106" s="125"/>
      <c r="K106" s="136"/>
      <c r="L106" s="125"/>
      <c r="M106" s="125" t="str">
        <f>IFERROR(_xlfn.XLOOKUP($A106,Input_Raw!$A:$A,Input_Raw!CG:CG),"")</f>
        <v/>
      </c>
      <c r="N106" s="125">
        <f>IFERROR(_xlfn.XLOOKUP($A106,Input_Raw!$A:$A,Input_Raw!CH:CH),"")</f>
        <v>0</v>
      </c>
      <c r="O106" s="137" t="str">
        <f t="shared" si="10"/>
        <v/>
      </c>
      <c r="P106" s="137" t="str">
        <f>IFERROR(1-SUMIF(WTG_BD!$F:$F,$A106,WTG_BD!$AA:$AA)/($AA106+SUMIF(WTG_BD!$F:$F,$A106,WTG_BD!$AA:$AA)),"")</f>
        <v/>
      </c>
      <c r="Q106" s="138" t="str">
        <f>IFERROR(1-SUMIF(IGA_BD!$F:$F,$A106,IGA_BD!$V:$V)/($AA106+SUMIF(IGA_BD!$F:$F,$A106,IGA_BD!$V:$V)),"")</f>
        <v/>
      </c>
      <c r="R106" s="143" t="str">
        <f>IFERROR(1-SUMIF(Grid_BD!$F:$F,$A106,Grid_BD!$X:$X)/($AA106+SUMIF(Grid_BD!$F:$F,$A106,Grid_BD!$X:$X)),"")</f>
        <v/>
      </c>
      <c r="S106" s="121"/>
      <c r="T106" s="138"/>
      <c r="U106" s="139"/>
      <c r="V106" s="121"/>
      <c r="W106" s="140">
        <f>IFERROR(Table13[[#This Row],[Mtr_Net_Exp (KWh)]]/(24*AR106*1000),"")</f>
        <v>0</v>
      </c>
      <c r="X106" s="121">
        <f>IFERROR(_xlfn.XLOOKUP($A106,Input_Raw!$A:$A,Input_Raw!$CF:$CF),"")</f>
        <v>0</v>
      </c>
      <c r="Y106" s="121">
        <f>IFERROR(_xlfn.XLOOKUP($A106,Input_Raw!$A:$A,Input_Raw!$CZ:$CZ),"")</f>
        <v>0</v>
      </c>
      <c r="Z106" s="121">
        <f>IFERROR(_xlfn.XLOOKUP($A106,Input_Raw!$A:$A,Input_Raw!$DA:$DA),"")</f>
        <v>0</v>
      </c>
      <c r="AA106" s="123">
        <f t="shared" si="9"/>
        <v>0</v>
      </c>
      <c r="AB106" s="121">
        <f>IFERROR(_xlfn.XLOOKUP($A106,Input_Raw!$A:$A,Input_Raw!$DG:$DG),"")</f>
        <v>0</v>
      </c>
      <c r="AC106" s="141">
        <f>IFERROR(_xlfn.XLOOKUP($D106,'Modelling New'!$D:$D,'Modelling New'!$J:$J),"")</f>
        <v>7.6000000000000005</v>
      </c>
      <c r="AD106" s="123">
        <f>IFERROR(_xlfn.XLOOKUP($D106,'Modelling New'!$D:$D,'Modelling New'!$T:$T)*1000,"")</f>
        <v>585797.81940673687</v>
      </c>
      <c r="AE106" s="140"/>
      <c r="AF106" s="140">
        <f>IFERROR(_xlfn.XLOOKUP($D106,'Modelling New'!$D:$D,'Modelling New'!$W:$W),"")</f>
        <v>0.31292618558052182</v>
      </c>
      <c r="AG106" s="140">
        <f>IFERROR(_xlfn.XLOOKUP($D106,'Modelling New'!$D:$D,'Modelling New'!$AE:$AE),"")</f>
        <v>0.96029999999999993</v>
      </c>
      <c r="AH106" s="140">
        <f>IFERROR(_xlfn.XLOOKUP($D106,'Modelling New'!$D:$D,'Modelling New'!$AF:$AF),"")</f>
        <v>0.995</v>
      </c>
      <c r="AI106" s="121">
        <f>IFERROR(_xlfn.XLOOKUP($A106,Input_Raw!$A:$A,Input_Raw!$DE:$DE),"")</f>
        <v>0</v>
      </c>
      <c r="AJ106" s="121"/>
      <c r="AK106" s="121"/>
      <c r="AL106" s="121"/>
      <c r="AM106" s="121"/>
      <c r="AN106" s="142">
        <f>IFERROR(_xlfn.XLOOKUP($A106,Input_Raw!$A:$A,Input_Raw!$DB:$DB),"")</f>
        <v>0</v>
      </c>
      <c r="AO106" s="140" t="str">
        <f>IFERROR((_xlfn.XLOOKUP($A106,'WTG Reactive Power'!$A:$A,'WTG Reactive Power'!$AR:$AR))/X106/1000,"")</f>
        <v/>
      </c>
      <c r="AP106" s="140">
        <f>IFERROR(_xlfn.XLOOKUP($D106,'Modelling New'!$D:$D,'Modelling New'!$AK:$AK),"")</f>
        <v>0.05</v>
      </c>
      <c r="AQ106" s="140">
        <f>IFERROR(_xlfn.XLOOKUP($D106,'Modelling New'!$D:$D,'Modelling New'!$AL:$AL),"")</f>
        <v>0.05</v>
      </c>
      <c r="AR106">
        <f>IFERROR(_xlfn.XLOOKUP($D106,'Modelling New'!$D:$D,'Modelling New'!$N:$N),"")</f>
        <v>78</v>
      </c>
    </row>
    <row r="107" spans="1:44">
      <c r="A107" s="134">
        <f t="shared" si="11"/>
        <v>45850</v>
      </c>
      <c r="B107" s="123">
        <f>YEAR(Table13[[#This Row],[Date]])+IF(MONTH(Table13[[#This Row],[Date]])&gt;=4,1,0)</f>
        <v>2026</v>
      </c>
      <c r="C107" s="121">
        <f>YEAR(Table13[[#This Row],[Date]])</f>
        <v>2025</v>
      </c>
      <c r="D107" s="135">
        <f>Table13[[#This Row],[Date]]-DAY(Table13[[#This Row],[Date]])+1</f>
        <v>45839</v>
      </c>
      <c r="E107" s="121">
        <f t="shared" si="8"/>
        <v>31</v>
      </c>
      <c r="F107" s="124"/>
      <c r="G107" s="125"/>
      <c r="H107" s="125"/>
      <c r="I107" s="125"/>
      <c r="J107" s="125"/>
      <c r="K107" s="136"/>
      <c r="L107" s="125"/>
      <c r="M107" s="125" t="str">
        <f>IFERROR(_xlfn.XLOOKUP($A107,Input_Raw!$A:$A,Input_Raw!CG:CG),"")</f>
        <v/>
      </c>
      <c r="N107" s="125">
        <f>IFERROR(_xlfn.XLOOKUP($A107,Input_Raw!$A:$A,Input_Raw!CH:CH),"")</f>
        <v>0</v>
      </c>
      <c r="O107" s="137" t="str">
        <f t="shared" si="10"/>
        <v/>
      </c>
      <c r="P107" s="137" t="str">
        <f>IFERROR(1-SUMIF(WTG_BD!$F:$F,$A107,WTG_BD!$AA:$AA)/($AA107+SUMIF(WTG_BD!$F:$F,$A107,WTG_BD!$AA:$AA)),"")</f>
        <v/>
      </c>
      <c r="Q107" s="138" t="str">
        <f>IFERROR(1-SUMIF(IGA_BD!$F:$F,$A107,IGA_BD!$V:$V)/($AA107+SUMIF(IGA_BD!$F:$F,$A107,IGA_BD!$V:$V)),"")</f>
        <v/>
      </c>
      <c r="R107" s="143" t="str">
        <f>IFERROR(1-SUMIF(Grid_BD!$F:$F,$A107,Grid_BD!$X:$X)/($AA107+SUMIF(Grid_BD!$F:$F,$A107,Grid_BD!$X:$X)),"")</f>
        <v/>
      </c>
      <c r="S107" s="121"/>
      <c r="T107" s="138"/>
      <c r="U107" s="139"/>
      <c r="V107" s="121"/>
      <c r="W107" s="140">
        <f>IFERROR(Table13[[#This Row],[Mtr_Net_Exp (KWh)]]/(24*AR107*1000),"")</f>
        <v>0</v>
      </c>
      <c r="X107" s="121">
        <f>IFERROR(_xlfn.XLOOKUP($A107,Input_Raw!$A:$A,Input_Raw!$CF:$CF),"")</f>
        <v>0</v>
      </c>
      <c r="Y107" s="121">
        <f>IFERROR(_xlfn.XLOOKUP($A107,Input_Raw!$A:$A,Input_Raw!$CZ:$CZ),"")</f>
        <v>0</v>
      </c>
      <c r="Z107" s="121">
        <f>IFERROR(_xlfn.XLOOKUP($A107,Input_Raw!$A:$A,Input_Raw!$DA:$DA),"")</f>
        <v>0</v>
      </c>
      <c r="AA107" s="123">
        <f t="shared" si="9"/>
        <v>0</v>
      </c>
      <c r="AB107" s="121">
        <f>IFERROR(_xlfn.XLOOKUP($A107,Input_Raw!$A:$A,Input_Raw!$DG:$DG),"")</f>
        <v>0</v>
      </c>
      <c r="AC107" s="141">
        <f>IFERROR(_xlfn.XLOOKUP($D107,'Modelling New'!$D:$D,'Modelling New'!$J:$J),"")</f>
        <v>7.6000000000000005</v>
      </c>
      <c r="AD107" s="123">
        <f>IFERROR(_xlfn.XLOOKUP($D107,'Modelling New'!$D:$D,'Modelling New'!$T:$T)*1000,"")</f>
        <v>585797.81940673687</v>
      </c>
      <c r="AE107" s="140"/>
      <c r="AF107" s="140">
        <f>IFERROR(_xlfn.XLOOKUP($D107,'Modelling New'!$D:$D,'Modelling New'!$W:$W),"")</f>
        <v>0.31292618558052182</v>
      </c>
      <c r="AG107" s="140">
        <f>IFERROR(_xlfn.XLOOKUP($D107,'Modelling New'!$D:$D,'Modelling New'!$AE:$AE),"")</f>
        <v>0.96029999999999993</v>
      </c>
      <c r="AH107" s="140">
        <f>IFERROR(_xlfn.XLOOKUP($D107,'Modelling New'!$D:$D,'Modelling New'!$AF:$AF),"")</f>
        <v>0.995</v>
      </c>
      <c r="AI107" s="121">
        <f>IFERROR(_xlfn.XLOOKUP($A107,Input_Raw!$A:$A,Input_Raw!$DE:$DE),"")</f>
        <v>0</v>
      </c>
      <c r="AJ107" s="121"/>
      <c r="AK107" s="121"/>
      <c r="AL107" s="121"/>
      <c r="AM107" s="121"/>
      <c r="AN107" s="142">
        <f>IFERROR(_xlfn.XLOOKUP($A107,Input_Raw!$A:$A,Input_Raw!$DB:$DB),"")</f>
        <v>0</v>
      </c>
      <c r="AO107" s="140" t="str">
        <f>IFERROR((_xlfn.XLOOKUP($A107,'WTG Reactive Power'!$A:$A,'WTG Reactive Power'!$AR:$AR))/X107/1000,"")</f>
        <v/>
      </c>
      <c r="AP107" s="140">
        <f>IFERROR(_xlfn.XLOOKUP($D107,'Modelling New'!$D:$D,'Modelling New'!$AK:$AK),"")</f>
        <v>0.05</v>
      </c>
      <c r="AQ107" s="140">
        <f>IFERROR(_xlfn.XLOOKUP($D107,'Modelling New'!$D:$D,'Modelling New'!$AL:$AL),"")</f>
        <v>0.05</v>
      </c>
      <c r="AR107">
        <f>IFERROR(_xlfn.XLOOKUP($D107,'Modelling New'!$D:$D,'Modelling New'!$N:$N),"")</f>
        <v>78</v>
      </c>
    </row>
    <row r="108" spans="1:44">
      <c r="A108" s="134">
        <f t="shared" si="11"/>
        <v>45851</v>
      </c>
      <c r="B108" s="123">
        <f>YEAR(Table13[[#This Row],[Date]])+IF(MONTH(Table13[[#This Row],[Date]])&gt;=4,1,0)</f>
        <v>2026</v>
      </c>
      <c r="C108" s="121">
        <f>YEAR(Table13[[#This Row],[Date]])</f>
        <v>2025</v>
      </c>
      <c r="D108" s="135">
        <f>Table13[[#This Row],[Date]]-DAY(Table13[[#This Row],[Date]])+1</f>
        <v>45839</v>
      </c>
      <c r="E108" s="121">
        <f t="shared" si="8"/>
        <v>31</v>
      </c>
      <c r="F108" s="124"/>
      <c r="G108" s="125"/>
      <c r="H108" s="125"/>
      <c r="I108" s="125"/>
      <c r="J108" s="125"/>
      <c r="K108" s="136"/>
      <c r="L108" s="125"/>
      <c r="M108" s="125" t="str">
        <f>IFERROR(_xlfn.XLOOKUP($A108,Input_Raw!$A:$A,Input_Raw!CG:CG),"")</f>
        <v/>
      </c>
      <c r="N108" s="125">
        <f>IFERROR(_xlfn.XLOOKUP($A108,Input_Raw!$A:$A,Input_Raw!CH:CH),"")</f>
        <v>0</v>
      </c>
      <c r="O108" s="137" t="str">
        <f t="shared" si="10"/>
        <v/>
      </c>
      <c r="P108" s="137" t="str">
        <f>IFERROR(1-SUMIF(WTG_BD!$F:$F,$A108,WTG_BD!$AA:$AA)/($AA108+SUMIF(WTG_BD!$F:$F,$A108,WTG_BD!$AA:$AA)),"")</f>
        <v/>
      </c>
      <c r="Q108" s="138" t="str">
        <f>IFERROR(1-SUMIF(IGA_BD!$F:$F,$A108,IGA_BD!$V:$V)/($AA108+SUMIF(IGA_BD!$F:$F,$A108,IGA_BD!$V:$V)),"")</f>
        <v/>
      </c>
      <c r="R108" s="143" t="str">
        <f>IFERROR(1-SUMIF(Grid_BD!$F:$F,$A108,Grid_BD!$X:$X)/($AA108+SUMIF(Grid_BD!$F:$F,$A108,Grid_BD!$X:$X)),"")</f>
        <v/>
      </c>
      <c r="S108" s="121"/>
      <c r="T108" s="138"/>
      <c r="U108" s="139"/>
      <c r="V108" s="121"/>
      <c r="W108" s="140">
        <f>IFERROR(Table13[[#This Row],[Mtr_Net_Exp (KWh)]]/(24*AR108*1000),"")</f>
        <v>0</v>
      </c>
      <c r="X108" s="121">
        <f>IFERROR(_xlfn.XLOOKUP($A108,Input_Raw!$A:$A,Input_Raw!$CF:$CF),"")</f>
        <v>0</v>
      </c>
      <c r="Y108" s="121">
        <f>IFERROR(_xlfn.XLOOKUP($A108,Input_Raw!$A:$A,Input_Raw!$CZ:$CZ),"")</f>
        <v>0</v>
      </c>
      <c r="Z108" s="121">
        <f>IFERROR(_xlfn.XLOOKUP($A108,Input_Raw!$A:$A,Input_Raw!$DA:$DA),"")</f>
        <v>0</v>
      </c>
      <c r="AA108" s="123">
        <f t="shared" si="9"/>
        <v>0</v>
      </c>
      <c r="AB108" s="121">
        <f>IFERROR(_xlfn.XLOOKUP($A108,Input_Raw!$A:$A,Input_Raw!$DG:$DG),"")</f>
        <v>0</v>
      </c>
      <c r="AC108" s="141">
        <f>IFERROR(_xlfn.XLOOKUP($D108,'Modelling New'!$D:$D,'Modelling New'!$J:$J),"")</f>
        <v>7.6000000000000005</v>
      </c>
      <c r="AD108" s="123">
        <f>IFERROR(_xlfn.XLOOKUP($D108,'Modelling New'!$D:$D,'Modelling New'!$T:$T)*1000,"")</f>
        <v>585797.81940673687</v>
      </c>
      <c r="AE108" s="140"/>
      <c r="AF108" s="140">
        <f>IFERROR(_xlfn.XLOOKUP($D108,'Modelling New'!$D:$D,'Modelling New'!$W:$W),"")</f>
        <v>0.31292618558052182</v>
      </c>
      <c r="AG108" s="140">
        <f>IFERROR(_xlfn.XLOOKUP($D108,'Modelling New'!$D:$D,'Modelling New'!$AE:$AE),"")</f>
        <v>0.96029999999999993</v>
      </c>
      <c r="AH108" s="140">
        <f>IFERROR(_xlfn.XLOOKUP($D108,'Modelling New'!$D:$D,'Modelling New'!$AF:$AF),"")</f>
        <v>0.995</v>
      </c>
      <c r="AI108" s="121">
        <f>IFERROR(_xlfn.XLOOKUP($A108,Input_Raw!$A:$A,Input_Raw!$DE:$DE),"")</f>
        <v>0</v>
      </c>
      <c r="AJ108" s="121"/>
      <c r="AK108" s="121"/>
      <c r="AL108" s="121"/>
      <c r="AM108" s="121"/>
      <c r="AN108" s="142">
        <f>IFERROR(_xlfn.XLOOKUP($A108,Input_Raw!$A:$A,Input_Raw!$DB:$DB),"")</f>
        <v>0</v>
      </c>
      <c r="AO108" s="140" t="str">
        <f>IFERROR((_xlfn.XLOOKUP($A108,'WTG Reactive Power'!$A:$A,'WTG Reactive Power'!$AR:$AR))/X108/1000,"")</f>
        <v/>
      </c>
      <c r="AP108" s="140">
        <f>IFERROR(_xlfn.XLOOKUP($D108,'Modelling New'!$D:$D,'Modelling New'!$AK:$AK),"")</f>
        <v>0.05</v>
      </c>
      <c r="AQ108" s="140">
        <f>IFERROR(_xlfn.XLOOKUP($D108,'Modelling New'!$D:$D,'Modelling New'!$AL:$AL),"")</f>
        <v>0.05</v>
      </c>
      <c r="AR108">
        <f>IFERROR(_xlfn.XLOOKUP($D108,'Modelling New'!$D:$D,'Modelling New'!$N:$N),"")</f>
        <v>78</v>
      </c>
    </row>
    <row r="109" spans="1:44">
      <c r="A109" s="134">
        <f t="shared" si="11"/>
        <v>45852</v>
      </c>
      <c r="B109" s="123">
        <f>YEAR(Table13[[#This Row],[Date]])+IF(MONTH(Table13[[#This Row],[Date]])&gt;=4,1,0)</f>
        <v>2026</v>
      </c>
      <c r="C109" s="121">
        <f>YEAR(Table13[[#This Row],[Date]])</f>
        <v>2025</v>
      </c>
      <c r="D109" s="135">
        <f>Table13[[#This Row],[Date]]-DAY(Table13[[#This Row],[Date]])+1</f>
        <v>45839</v>
      </c>
      <c r="E109" s="121">
        <f t="shared" si="8"/>
        <v>31</v>
      </c>
      <c r="F109" s="124"/>
      <c r="G109" s="125"/>
      <c r="H109" s="125"/>
      <c r="I109" s="125"/>
      <c r="J109" s="125"/>
      <c r="K109" s="136"/>
      <c r="L109" s="125"/>
      <c r="M109" s="125" t="str">
        <f>IFERROR(_xlfn.XLOOKUP($A109,Input_Raw!$A:$A,Input_Raw!CG:CG),"")</f>
        <v/>
      </c>
      <c r="N109" s="125">
        <f>IFERROR(_xlfn.XLOOKUP($A109,Input_Raw!$A:$A,Input_Raw!CH:CH),"")</f>
        <v>0</v>
      </c>
      <c r="O109" s="137" t="str">
        <f t="shared" si="10"/>
        <v/>
      </c>
      <c r="P109" s="137" t="str">
        <f>IFERROR(1-SUMIF(WTG_BD!$F:$F,$A109,WTG_BD!$AA:$AA)/($AA109+SUMIF(WTG_BD!$F:$F,$A109,WTG_BD!$AA:$AA)),"")</f>
        <v/>
      </c>
      <c r="Q109" s="138" t="str">
        <f>IFERROR(1-SUMIF(IGA_BD!$F:$F,$A109,IGA_BD!$V:$V)/($AA109+SUMIF(IGA_BD!$F:$F,$A109,IGA_BD!$V:$V)),"")</f>
        <v/>
      </c>
      <c r="R109" s="143" t="str">
        <f>IFERROR(1-SUMIF(Grid_BD!$F:$F,$A109,Grid_BD!$X:$X)/($AA109+SUMIF(Grid_BD!$F:$F,$A109,Grid_BD!$X:$X)),"")</f>
        <v/>
      </c>
      <c r="S109" s="121"/>
      <c r="T109" s="138"/>
      <c r="U109" s="139"/>
      <c r="V109" s="121"/>
      <c r="W109" s="140">
        <f>IFERROR(Table13[[#This Row],[Mtr_Net_Exp (KWh)]]/(24*AR109*1000),"")</f>
        <v>0</v>
      </c>
      <c r="X109" s="121">
        <f>IFERROR(_xlfn.XLOOKUP($A109,Input_Raw!$A:$A,Input_Raw!$CF:$CF),"")</f>
        <v>0</v>
      </c>
      <c r="Y109" s="121">
        <f>IFERROR(_xlfn.XLOOKUP($A109,Input_Raw!$A:$A,Input_Raw!$CZ:$CZ),"")</f>
        <v>0</v>
      </c>
      <c r="Z109" s="121">
        <f>IFERROR(_xlfn.XLOOKUP($A109,Input_Raw!$A:$A,Input_Raw!$DA:$DA),"")</f>
        <v>0</v>
      </c>
      <c r="AA109" s="123">
        <f t="shared" si="9"/>
        <v>0</v>
      </c>
      <c r="AB109" s="121">
        <f>IFERROR(_xlfn.XLOOKUP($A109,Input_Raw!$A:$A,Input_Raw!$DG:$DG),"")</f>
        <v>0</v>
      </c>
      <c r="AC109" s="141">
        <f>IFERROR(_xlfn.XLOOKUP($D109,'Modelling New'!$D:$D,'Modelling New'!$J:$J),"")</f>
        <v>7.6000000000000005</v>
      </c>
      <c r="AD109" s="123">
        <f>IFERROR(_xlfn.XLOOKUP($D109,'Modelling New'!$D:$D,'Modelling New'!$T:$T)*1000,"")</f>
        <v>585797.81940673687</v>
      </c>
      <c r="AE109" s="140"/>
      <c r="AF109" s="140">
        <f>IFERROR(_xlfn.XLOOKUP($D109,'Modelling New'!$D:$D,'Modelling New'!$W:$W),"")</f>
        <v>0.31292618558052182</v>
      </c>
      <c r="AG109" s="140">
        <f>IFERROR(_xlfn.XLOOKUP($D109,'Modelling New'!$D:$D,'Modelling New'!$AE:$AE),"")</f>
        <v>0.96029999999999993</v>
      </c>
      <c r="AH109" s="140">
        <f>IFERROR(_xlfn.XLOOKUP($D109,'Modelling New'!$D:$D,'Modelling New'!$AF:$AF),"")</f>
        <v>0.995</v>
      </c>
      <c r="AI109" s="121">
        <f>IFERROR(_xlfn.XLOOKUP($A109,Input_Raw!$A:$A,Input_Raw!$DE:$DE),"")</f>
        <v>0</v>
      </c>
      <c r="AJ109" s="121"/>
      <c r="AK109" s="121"/>
      <c r="AL109" s="121"/>
      <c r="AM109" s="121"/>
      <c r="AN109" s="142">
        <f>IFERROR(_xlfn.XLOOKUP($A109,Input_Raw!$A:$A,Input_Raw!$DB:$DB),"")</f>
        <v>0</v>
      </c>
      <c r="AO109" s="140" t="str">
        <f>IFERROR((_xlfn.XLOOKUP($A109,'WTG Reactive Power'!$A:$A,'WTG Reactive Power'!$AR:$AR))/X109/1000,"")</f>
        <v/>
      </c>
      <c r="AP109" s="140">
        <f>IFERROR(_xlfn.XLOOKUP($D109,'Modelling New'!$D:$D,'Modelling New'!$AK:$AK),"")</f>
        <v>0.05</v>
      </c>
      <c r="AQ109" s="140">
        <f>IFERROR(_xlfn.XLOOKUP($D109,'Modelling New'!$D:$D,'Modelling New'!$AL:$AL),"")</f>
        <v>0.05</v>
      </c>
      <c r="AR109">
        <f>IFERROR(_xlfn.XLOOKUP($D109,'Modelling New'!$D:$D,'Modelling New'!$N:$N),"")</f>
        <v>78</v>
      </c>
    </row>
    <row r="110" spans="1:44">
      <c r="A110" s="134">
        <f t="shared" si="11"/>
        <v>45853</v>
      </c>
      <c r="B110" s="123">
        <f>YEAR(Table13[[#This Row],[Date]])+IF(MONTH(Table13[[#This Row],[Date]])&gt;=4,1,0)</f>
        <v>2026</v>
      </c>
      <c r="C110" s="121">
        <f>YEAR(Table13[[#This Row],[Date]])</f>
        <v>2025</v>
      </c>
      <c r="D110" s="135">
        <f>Table13[[#This Row],[Date]]-DAY(Table13[[#This Row],[Date]])+1</f>
        <v>45839</v>
      </c>
      <c r="E110" s="121">
        <f t="shared" si="8"/>
        <v>31</v>
      </c>
      <c r="F110" s="124"/>
      <c r="G110" s="125"/>
      <c r="H110" s="125"/>
      <c r="I110" s="125"/>
      <c r="J110" s="125"/>
      <c r="K110" s="136"/>
      <c r="L110" s="125"/>
      <c r="M110" s="125" t="str">
        <f>IFERROR(_xlfn.XLOOKUP($A110,Input_Raw!$A:$A,Input_Raw!CG:CG),"")</f>
        <v/>
      </c>
      <c r="N110" s="125">
        <f>IFERROR(_xlfn.XLOOKUP($A110,Input_Raw!$A:$A,Input_Raw!CH:CH),"")</f>
        <v>0</v>
      </c>
      <c r="O110" s="137" t="str">
        <f t="shared" si="10"/>
        <v/>
      </c>
      <c r="P110" s="137" t="str">
        <f>IFERROR(1-SUMIF(WTG_BD!$F:$F,$A110,WTG_BD!$AA:$AA)/($AA110+SUMIF(WTG_BD!$F:$F,$A110,WTG_BD!$AA:$AA)),"")</f>
        <v/>
      </c>
      <c r="Q110" s="138" t="str">
        <f>IFERROR(1-SUMIF(IGA_BD!$F:$F,$A110,IGA_BD!$V:$V)/($AA110+SUMIF(IGA_BD!$F:$F,$A110,IGA_BD!$V:$V)),"")</f>
        <v/>
      </c>
      <c r="R110" s="143" t="str">
        <f>IFERROR(1-SUMIF(Grid_BD!$F:$F,$A110,Grid_BD!$X:$X)/($AA110+SUMIF(Grid_BD!$F:$F,$A110,Grid_BD!$X:$X)),"")</f>
        <v/>
      </c>
      <c r="S110" s="121"/>
      <c r="T110" s="138"/>
      <c r="U110" s="139"/>
      <c r="V110" s="121"/>
      <c r="W110" s="140">
        <f>IFERROR(Table13[[#This Row],[Mtr_Net_Exp (KWh)]]/(24*AR110*1000),"")</f>
        <v>0</v>
      </c>
      <c r="X110" s="121">
        <f>IFERROR(_xlfn.XLOOKUP($A110,Input_Raw!$A:$A,Input_Raw!$CF:$CF),"")</f>
        <v>0</v>
      </c>
      <c r="Y110" s="121">
        <f>IFERROR(_xlfn.XLOOKUP($A110,Input_Raw!$A:$A,Input_Raw!$CZ:$CZ),"")</f>
        <v>0</v>
      </c>
      <c r="Z110" s="121">
        <f>IFERROR(_xlfn.XLOOKUP($A110,Input_Raw!$A:$A,Input_Raw!$DA:$DA),"")</f>
        <v>0</v>
      </c>
      <c r="AA110" s="123">
        <f t="shared" si="9"/>
        <v>0</v>
      </c>
      <c r="AB110" s="121">
        <f>IFERROR(_xlfn.XLOOKUP($A110,Input_Raw!$A:$A,Input_Raw!$DG:$DG),"")</f>
        <v>0</v>
      </c>
      <c r="AC110" s="141">
        <f>IFERROR(_xlfn.XLOOKUP($D110,'Modelling New'!$D:$D,'Modelling New'!$J:$J),"")</f>
        <v>7.6000000000000005</v>
      </c>
      <c r="AD110" s="123">
        <f>IFERROR(_xlfn.XLOOKUP($D110,'Modelling New'!$D:$D,'Modelling New'!$T:$T)*1000,"")</f>
        <v>585797.81940673687</v>
      </c>
      <c r="AE110" s="140"/>
      <c r="AF110" s="140">
        <f>IFERROR(_xlfn.XLOOKUP($D110,'Modelling New'!$D:$D,'Modelling New'!$W:$W),"")</f>
        <v>0.31292618558052182</v>
      </c>
      <c r="AG110" s="140">
        <f>IFERROR(_xlfn.XLOOKUP($D110,'Modelling New'!$D:$D,'Modelling New'!$AE:$AE),"")</f>
        <v>0.96029999999999993</v>
      </c>
      <c r="AH110" s="140">
        <f>IFERROR(_xlfn.XLOOKUP($D110,'Modelling New'!$D:$D,'Modelling New'!$AF:$AF),"")</f>
        <v>0.995</v>
      </c>
      <c r="AI110" s="121">
        <f>IFERROR(_xlfn.XLOOKUP($A110,Input_Raw!$A:$A,Input_Raw!$DE:$DE),"")</f>
        <v>0</v>
      </c>
      <c r="AJ110" s="121"/>
      <c r="AK110" s="121"/>
      <c r="AL110" s="121"/>
      <c r="AM110" s="121"/>
      <c r="AN110" s="142">
        <f>IFERROR(_xlfn.XLOOKUP($A110,Input_Raw!$A:$A,Input_Raw!$DB:$DB),"")</f>
        <v>0</v>
      </c>
      <c r="AO110" s="140" t="str">
        <f>IFERROR((_xlfn.XLOOKUP($A110,'WTG Reactive Power'!$A:$A,'WTG Reactive Power'!$AR:$AR))/X110/1000,"")</f>
        <v/>
      </c>
      <c r="AP110" s="140">
        <f>IFERROR(_xlfn.XLOOKUP($D110,'Modelling New'!$D:$D,'Modelling New'!$AK:$AK),"")</f>
        <v>0.05</v>
      </c>
      <c r="AQ110" s="140">
        <f>IFERROR(_xlfn.XLOOKUP($D110,'Modelling New'!$D:$D,'Modelling New'!$AL:$AL),"")</f>
        <v>0.05</v>
      </c>
      <c r="AR110">
        <f>IFERROR(_xlfn.XLOOKUP($D110,'Modelling New'!$D:$D,'Modelling New'!$N:$N),"")</f>
        <v>78</v>
      </c>
    </row>
    <row r="111" spans="1:44">
      <c r="A111" s="134">
        <f t="shared" si="11"/>
        <v>45854</v>
      </c>
      <c r="B111" s="123">
        <f>YEAR(Table13[[#This Row],[Date]])+IF(MONTH(Table13[[#This Row],[Date]])&gt;=4,1,0)</f>
        <v>2026</v>
      </c>
      <c r="C111" s="121">
        <f>YEAR(Table13[[#This Row],[Date]])</f>
        <v>2025</v>
      </c>
      <c r="D111" s="135">
        <f>Table13[[#This Row],[Date]]-DAY(Table13[[#This Row],[Date]])+1</f>
        <v>45839</v>
      </c>
      <c r="E111" s="121">
        <f t="shared" si="8"/>
        <v>31</v>
      </c>
      <c r="F111" s="124"/>
      <c r="G111" s="125"/>
      <c r="H111" s="125"/>
      <c r="I111" s="125"/>
      <c r="J111" s="125"/>
      <c r="K111" s="136"/>
      <c r="L111" s="125"/>
      <c r="M111" s="125" t="str">
        <f>IFERROR(_xlfn.XLOOKUP($A111,Input_Raw!$A:$A,Input_Raw!CG:CG),"")</f>
        <v/>
      </c>
      <c r="N111" s="125">
        <f>IFERROR(_xlfn.XLOOKUP($A111,Input_Raw!$A:$A,Input_Raw!CH:CH),"")</f>
        <v>0</v>
      </c>
      <c r="O111" s="137" t="str">
        <f t="shared" si="10"/>
        <v/>
      </c>
      <c r="P111" s="137" t="str">
        <f>IFERROR(1-SUMIF(WTG_BD!$F:$F,$A111,WTG_BD!$AA:$AA)/($AA111+SUMIF(WTG_BD!$F:$F,$A111,WTG_BD!$AA:$AA)),"")</f>
        <v/>
      </c>
      <c r="Q111" s="138" t="str">
        <f>IFERROR(1-SUMIF(IGA_BD!$F:$F,$A111,IGA_BD!$V:$V)/($AA111+SUMIF(IGA_BD!$F:$F,$A111,IGA_BD!$V:$V)),"")</f>
        <v/>
      </c>
      <c r="R111" s="143" t="str">
        <f>IFERROR(1-SUMIF(Grid_BD!$F:$F,$A111,Grid_BD!$X:$X)/($AA111+SUMIF(Grid_BD!$F:$F,$A111,Grid_BD!$X:$X)),"")</f>
        <v/>
      </c>
      <c r="S111" s="121"/>
      <c r="T111" s="138"/>
      <c r="U111" s="139"/>
      <c r="V111" s="121"/>
      <c r="W111" s="140">
        <f>IFERROR(Table13[[#This Row],[Mtr_Net_Exp (KWh)]]/(24*AR111*1000),"")</f>
        <v>0</v>
      </c>
      <c r="X111" s="121">
        <f>IFERROR(_xlfn.XLOOKUP($A111,Input_Raw!$A:$A,Input_Raw!$CF:$CF),"")</f>
        <v>0</v>
      </c>
      <c r="Y111" s="121">
        <f>IFERROR(_xlfn.XLOOKUP($A111,Input_Raw!$A:$A,Input_Raw!$CZ:$CZ),"")</f>
        <v>0</v>
      </c>
      <c r="Z111" s="121">
        <f>IFERROR(_xlfn.XLOOKUP($A111,Input_Raw!$A:$A,Input_Raw!$DA:$DA),"")</f>
        <v>0</v>
      </c>
      <c r="AA111" s="123">
        <f t="shared" si="9"/>
        <v>0</v>
      </c>
      <c r="AB111" s="121">
        <f>IFERROR(_xlfn.XLOOKUP($A111,Input_Raw!$A:$A,Input_Raw!$DG:$DG),"")</f>
        <v>0</v>
      </c>
      <c r="AC111" s="141">
        <f>IFERROR(_xlfn.XLOOKUP($D111,'Modelling New'!$D:$D,'Modelling New'!$J:$J),"")</f>
        <v>7.6000000000000005</v>
      </c>
      <c r="AD111" s="123">
        <f>IFERROR(_xlfn.XLOOKUP($D111,'Modelling New'!$D:$D,'Modelling New'!$T:$T)*1000,"")</f>
        <v>585797.81940673687</v>
      </c>
      <c r="AE111" s="140"/>
      <c r="AF111" s="140">
        <f>IFERROR(_xlfn.XLOOKUP($D111,'Modelling New'!$D:$D,'Modelling New'!$W:$W),"")</f>
        <v>0.31292618558052182</v>
      </c>
      <c r="AG111" s="140">
        <f>IFERROR(_xlfn.XLOOKUP($D111,'Modelling New'!$D:$D,'Modelling New'!$AE:$AE),"")</f>
        <v>0.96029999999999993</v>
      </c>
      <c r="AH111" s="140">
        <f>IFERROR(_xlfn.XLOOKUP($D111,'Modelling New'!$D:$D,'Modelling New'!$AF:$AF),"")</f>
        <v>0.995</v>
      </c>
      <c r="AI111" s="121">
        <f>IFERROR(_xlfn.XLOOKUP($A111,Input_Raw!$A:$A,Input_Raw!$DE:$DE),"")</f>
        <v>0</v>
      </c>
      <c r="AJ111" s="121"/>
      <c r="AK111" s="121"/>
      <c r="AL111" s="121"/>
      <c r="AM111" s="121"/>
      <c r="AN111" s="142">
        <f>IFERROR(_xlfn.XLOOKUP($A111,Input_Raw!$A:$A,Input_Raw!$DB:$DB),"")</f>
        <v>0</v>
      </c>
      <c r="AO111" s="140" t="str">
        <f>IFERROR((_xlfn.XLOOKUP($A111,'WTG Reactive Power'!$A:$A,'WTG Reactive Power'!$AR:$AR))/X111/1000,"")</f>
        <v/>
      </c>
      <c r="AP111" s="140">
        <f>IFERROR(_xlfn.XLOOKUP($D111,'Modelling New'!$D:$D,'Modelling New'!$AK:$AK),"")</f>
        <v>0.05</v>
      </c>
      <c r="AQ111" s="140">
        <f>IFERROR(_xlfn.XLOOKUP($D111,'Modelling New'!$D:$D,'Modelling New'!$AL:$AL),"")</f>
        <v>0.05</v>
      </c>
      <c r="AR111">
        <f>IFERROR(_xlfn.XLOOKUP($D111,'Modelling New'!$D:$D,'Modelling New'!$N:$N),"")</f>
        <v>78</v>
      </c>
    </row>
    <row r="112" spans="1:44">
      <c r="A112" s="134">
        <f t="shared" si="11"/>
        <v>45855</v>
      </c>
      <c r="B112" s="123">
        <f>YEAR(Table13[[#This Row],[Date]])+IF(MONTH(Table13[[#This Row],[Date]])&gt;=4,1,0)</f>
        <v>2026</v>
      </c>
      <c r="C112" s="121">
        <f>YEAR(Table13[[#This Row],[Date]])</f>
        <v>2025</v>
      </c>
      <c r="D112" s="135">
        <f>Table13[[#This Row],[Date]]-DAY(Table13[[#This Row],[Date]])+1</f>
        <v>45839</v>
      </c>
      <c r="E112" s="121">
        <f t="shared" si="8"/>
        <v>31</v>
      </c>
      <c r="F112" s="124"/>
      <c r="G112" s="125"/>
      <c r="H112" s="125"/>
      <c r="I112" s="125"/>
      <c r="J112" s="125"/>
      <c r="K112" s="136"/>
      <c r="L112" s="125"/>
      <c r="M112" s="125" t="str">
        <f>IFERROR(_xlfn.XLOOKUP($A112,Input_Raw!$A:$A,Input_Raw!CG:CG),"")</f>
        <v/>
      </c>
      <c r="N112" s="125">
        <f>IFERROR(_xlfn.XLOOKUP($A112,Input_Raw!$A:$A,Input_Raw!CH:CH),"")</f>
        <v>0</v>
      </c>
      <c r="O112" s="137" t="str">
        <f t="shared" si="10"/>
        <v/>
      </c>
      <c r="P112" s="137" t="str">
        <f>IFERROR(1-SUMIF(WTG_BD!$F:$F,$A112,WTG_BD!$AA:$AA)/($AA112+SUMIF(WTG_BD!$F:$F,$A112,WTG_BD!$AA:$AA)),"")</f>
        <v/>
      </c>
      <c r="Q112" s="138" t="str">
        <f>IFERROR(1-SUMIF(IGA_BD!$F:$F,$A112,IGA_BD!$V:$V)/($AA112+SUMIF(IGA_BD!$F:$F,$A112,IGA_BD!$V:$V)),"")</f>
        <v/>
      </c>
      <c r="R112" s="143" t="str">
        <f>IFERROR(1-SUMIF(Grid_BD!$F:$F,$A112,Grid_BD!$X:$X)/($AA112+SUMIF(Grid_BD!$F:$F,$A112,Grid_BD!$X:$X)),"")</f>
        <v/>
      </c>
      <c r="S112" s="121"/>
      <c r="T112" s="138"/>
      <c r="U112" s="139"/>
      <c r="V112" s="121"/>
      <c r="W112" s="140">
        <f>IFERROR(Table13[[#This Row],[Mtr_Net_Exp (KWh)]]/(24*AR112*1000),"")</f>
        <v>0</v>
      </c>
      <c r="X112" s="121">
        <f>IFERROR(_xlfn.XLOOKUP($A112,Input_Raw!$A:$A,Input_Raw!$CF:$CF),"")</f>
        <v>0</v>
      </c>
      <c r="Y112" s="121">
        <f>IFERROR(_xlfn.XLOOKUP($A112,Input_Raw!$A:$A,Input_Raw!$CZ:$CZ),"")</f>
        <v>0</v>
      </c>
      <c r="Z112" s="121">
        <f>IFERROR(_xlfn.XLOOKUP($A112,Input_Raw!$A:$A,Input_Raw!$DA:$DA),"")</f>
        <v>0</v>
      </c>
      <c r="AA112" s="123">
        <f t="shared" si="9"/>
        <v>0</v>
      </c>
      <c r="AB112" s="121">
        <f>IFERROR(_xlfn.XLOOKUP($A112,Input_Raw!$A:$A,Input_Raw!$DG:$DG),"")</f>
        <v>0</v>
      </c>
      <c r="AC112" s="141">
        <f>IFERROR(_xlfn.XLOOKUP($D112,'Modelling New'!$D:$D,'Modelling New'!$J:$J),"")</f>
        <v>7.6000000000000005</v>
      </c>
      <c r="AD112" s="123">
        <f>IFERROR(_xlfn.XLOOKUP($D112,'Modelling New'!$D:$D,'Modelling New'!$T:$T)*1000,"")</f>
        <v>585797.81940673687</v>
      </c>
      <c r="AE112" s="140"/>
      <c r="AF112" s="140">
        <f>IFERROR(_xlfn.XLOOKUP($D112,'Modelling New'!$D:$D,'Modelling New'!$W:$W),"")</f>
        <v>0.31292618558052182</v>
      </c>
      <c r="AG112" s="140">
        <f>IFERROR(_xlfn.XLOOKUP($D112,'Modelling New'!$D:$D,'Modelling New'!$AE:$AE),"")</f>
        <v>0.96029999999999993</v>
      </c>
      <c r="AH112" s="140">
        <f>IFERROR(_xlfn.XLOOKUP($D112,'Modelling New'!$D:$D,'Modelling New'!$AF:$AF),"")</f>
        <v>0.995</v>
      </c>
      <c r="AI112" s="121">
        <f>IFERROR(_xlfn.XLOOKUP($A112,Input_Raw!$A:$A,Input_Raw!$DE:$DE),"")</f>
        <v>0</v>
      </c>
      <c r="AJ112" s="121"/>
      <c r="AK112" s="121"/>
      <c r="AL112" s="121"/>
      <c r="AM112" s="121"/>
      <c r="AN112" s="142">
        <f>IFERROR(_xlfn.XLOOKUP($A112,Input_Raw!$A:$A,Input_Raw!$DB:$DB),"")</f>
        <v>0</v>
      </c>
      <c r="AO112" s="140" t="str">
        <f>IFERROR((_xlfn.XLOOKUP($A112,'WTG Reactive Power'!$A:$A,'WTG Reactive Power'!$AR:$AR))/X112/1000,"")</f>
        <v/>
      </c>
      <c r="AP112" s="140">
        <f>IFERROR(_xlfn.XLOOKUP($D112,'Modelling New'!$D:$D,'Modelling New'!$AK:$AK),"")</f>
        <v>0.05</v>
      </c>
      <c r="AQ112" s="140">
        <f>IFERROR(_xlfn.XLOOKUP($D112,'Modelling New'!$D:$D,'Modelling New'!$AL:$AL),"")</f>
        <v>0.05</v>
      </c>
      <c r="AR112">
        <f>IFERROR(_xlfn.XLOOKUP($D112,'Modelling New'!$D:$D,'Modelling New'!$N:$N),"")</f>
        <v>78</v>
      </c>
    </row>
    <row r="113" spans="1:44">
      <c r="A113" s="134">
        <f t="shared" si="11"/>
        <v>45856</v>
      </c>
      <c r="B113" s="123">
        <f>YEAR(Table13[[#This Row],[Date]])+IF(MONTH(Table13[[#This Row],[Date]])&gt;=4,1,0)</f>
        <v>2026</v>
      </c>
      <c r="C113" s="121">
        <f>YEAR(Table13[[#This Row],[Date]])</f>
        <v>2025</v>
      </c>
      <c r="D113" s="135">
        <f>Table13[[#This Row],[Date]]-DAY(Table13[[#This Row],[Date]])+1</f>
        <v>45839</v>
      </c>
      <c r="E113" s="121">
        <f t="shared" si="8"/>
        <v>31</v>
      </c>
      <c r="F113" s="124"/>
      <c r="G113" s="125"/>
      <c r="H113" s="125"/>
      <c r="I113" s="125"/>
      <c r="J113" s="125"/>
      <c r="K113" s="136"/>
      <c r="L113" s="125"/>
      <c r="M113" s="125" t="str">
        <f>IFERROR(_xlfn.XLOOKUP($A113,Input_Raw!$A:$A,Input_Raw!CG:CG),"")</f>
        <v/>
      </c>
      <c r="N113" s="125">
        <f>IFERROR(_xlfn.XLOOKUP($A113,Input_Raw!$A:$A,Input_Raw!CH:CH),"")</f>
        <v>0</v>
      </c>
      <c r="O113" s="137" t="str">
        <f t="shared" si="10"/>
        <v/>
      </c>
      <c r="P113" s="137" t="str">
        <f>IFERROR(1-SUMIF(WTG_BD!$F:$F,$A113,WTG_BD!$AA:$AA)/($AA113+SUMIF(WTG_BD!$F:$F,$A113,WTG_BD!$AA:$AA)),"")</f>
        <v/>
      </c>
      <c r="Q113" s="138" t="str">
        <f>IFERROR(1-SUMIF(IGA_BD!$F:$F,$A113,IGA_BD!$V:$V)/($AA113+SUMIF(IGA_BD!$F:$F,$A113,IGA_BD!$V:$V)),"")</f>
        <v/>
      </c>
      <c r="R113" s="143" t="str">
        <f>IFERROR(1-SUMIF(Grid_BD!$F:$F,$A113,Grid_BD!$X:$X)/($AA113+SUMIF(Grid_BD!$F:$F,$A113,Grid_BD!$X:$X)),"")</f>
        <v/>
      </c>
      <c r="S113" s="121"/>
      <c r="T113" s="138"/>
      <c r="U113" s="139"/>
      <c r="V113" s="121"/>
      <c r="W113" s="140">
        <f>IFERROR(Table13[[#This Row],[Mtr_Net_Exp (KWh)]]/(24*AR113*1000),"")</f>
        <v>0</v>
      </c>
      <c r="X113" s="121">
        <f>IFERROR(_xlfn.XLOOKUP($A113,Input_Raw!$A:$A,Input_Raw!$CF:$CF),"")</f>
        <v>0</v>
      </c>
      <c r="Y113" s="121">
        <f>IFERROR(_xlfn.XLOOKUP($A113,Input_Raw!$A:$A,Input_Raw!$CZ:$CZ),"")</f>
        <v>0</v>
      </c>
      <c r="Z113" s="121">
        <f>IFERROR(_xlfn.XLOOKUP($A113,Input_Raw!$A:$A,Input_Raw!$DA:$DA),"")</f>
        <v>0</v>
      </c>
      <c r="AA113" s="123">
        <f t="shared" si="9"/>
        <v>0</v>
      </c>
      <c r="AB113" s="121">
        <f>IFERROR(_xlfn.XLOOKUP($A113,Input_Raw!$A:$A,Input_Raw!$DG:$DG),"")</f>
        <v>0</v>
      </c>
      <c r="AC113" s="141">
        <f>IFERROR(_xlfn.XLOOKUP($D113,'Modelling New'!$D:$D,'Modelling New'!$J:$J),"")</f>
        <v>7.6000000000000005</v>
      </c>
      <c r="AD113" s="123">
        <f>IFERROR(_xlfn.XLOOKUP($D113,'Modelling New'!$D:$D,'Modelling New'!$T:$T)*1000,"")</f>
        <v>585797.81940673687</v>
      </c>
      <c r="AE113" s="140"/>
      <c r="AF113" s="140">
        <f>IFERROR(_xlfn.XLOOKUP($D113,'Modelling New'!$D:$D,'Modelling New'!$W:$W),"")</f>
        <v>0.31292618558052182</v>
      </c>
      <c r="AG113" s="140">
        <f>IFERROR(_xlfn.XLOOKUP($D113,'Modelling New'!$D:$D,'Modelling New'!$AE:$AE),"")</f>
        <v>0.96029999999999993</v>
      </c>
      <c r="AH113" s="140">
        <f>IFERROR(_xlfn.XLOOKUP($D113,'Modelling New'!$D:$D,'Modelling New'!$AF:$AF),"")</f>
        <v>0.995</v>
      </c>
      <c r="AI113" s="121">
        <f>IFERROR(_xlfn.XLOOKUP($A113,Input_Raw!$A:$A,Input_Raw!$DE:$DE),"")</f>
        <v>0</v>
      </c>
      <c r="AJ113" s="121"/>
      <c r="AK113" s="121"/>
      <c r="AL113" s="121"/>
      <c r="AM113" s="121"/>
      <c r="AN113" s="142">
        <f>IFERROR(_xlfn.XLOOKUP($A113,Input_Raw!$A:$A,Input_Raw!$DB:$DB),"")</f>
        <v>0</v>
      </c>
      <c r="AO113" s="140" t="str">
        <f>IFERROR((_xlfn.XLOOKUP($A113,'WTG Reactive Power'!$A:$A,'WTG Reactive Power'!$AR:$AR))/X113/1000,"")</f>
        <v/>
      </c>
      <c r="AP113" s="140">
        <f>IFERROR(_xlfn.XLOOKUP($D113,'Modelling New'!$D:$D,'Modelling New'!$AK:$AK),"")</f>
        <v>0.05</v>
      </c>
      <c r="AQ113" s="140">
        <f>IFERROR(_xlfn.XLOOKUP($D113,'Modelling New'!$D:$D,'Modelling New'!$AL:$AL),"")</f>
        <v>0.05</v>
      </c>
      <c r="AR113">
        <f>IFERROR(_xlfn.XLOOKUP($D113,'Modelling New'!$D:$D,'Modelling New'!$N:$N),"")</f>
        <v>78</v>
      </c>
    </row>
    <row r="114" spans="1:44">
      <c r="A114" s="134">
        <f t="shared" si="11"/>
        <v>45857</v>
      </c>
      <c r="B114" s="123">
        <f>YEAR(Table13[[#This Row],[Date]])+IF(MONTH(Table13[[#This Row],[Date]])&gt;=4,1,0)</f>
        <v>2026</v>
      </c>
      <c r="C114" s="121">
        <f>YEAR(Table13[[#This Row],[Date]])</f>
        <v>2025</v>
      </c>
      <c r="D114" s="135">
        <f>Table13[[#This Row],[Date]]-DAY(Table13[[#This Row],[Date]])+1</f>
        <v>45839</v>
      </c>
      <c r="E114" s="121">
        <f t="shared" si="8"/>
        <v>31</v>
      </c>
      <c r="F114" s="124"/>
      <c r="G114" s="125"/>
      <c r="H114" s="125"/>
      <c r="I114" s="125"/>
      <c r="J114" s="125"/>
      <c r="K114" s="136"/>
      <c r="L114" s="125"/>
      <c r="M114" s="125" t="str">
        <f>IFERROR(_xlfn.XLOOKUP($A114,Input_Raw!$A:$A,Input_Raw!CG:CG),"")</f>
        <v/>
      </c>
      <c r="N114" s="125">
        <f>IFERROR(_xlfn.XLOOKUP($A114,Input_Raw!$A:$A,Input_Raw!CH:CH),"")</f>
        <v>0</v>
      </c>
      <c r="O114" s="137" t="str">
        <f t="shared" si="10"/>
        <v/>
      </c>
      <c r="P114" s="137" t="str">
        <f>IFERROR(1-SUMIF(WTG_BD!$F:$F,$A114,WTG_BD!$AA:$AA)/($AA114+SUMIF(WTG_BD!$F:$F,$A114,WTG_BD!$AA:$AA)),"")</f>
        <v/>
      </c>
      <c r="Q114" s="138" t="str">
        <f>IFERROR(1-SUMIF(IGA_BD!$F:$F,$A114,IGA_BD!$V:$V)/($AA114+SUMIF(IGA_BD!$F:$F,$A114,IGA_BD!$V:$V)),"")</f>
        <v/>
      </c>
      <c r="R114" s="143" t="str">
        <f>IFERROR(1-SUMIF(Grid_BD!$F:$F,$A114,Grid_BD!$X:$X)/($AA114+SUMIF(Grid_BD!$F:$F,$A114,Grid_BD!$X:$X)),"")</f>
        <v/>
      </c>
      <c r="S114" s="121"/>
      <c r="T114" s="138"/>
      <c r="U114" s="139"/>
      <c r="V114" s="121"/>
      <c r="W114" s="140">
        <f>IFERROR(Table13[[#This Row],[Mtr_Net_Exp (KWh)]]/(24*AR114*1000),"")</f>
        <v>0</v>
      </c>
      <c r="X114" s="121">
        <f>IFERROR(_xlfn.XLOOKUP($A114,Input_Raw!$A:$A,Input_Raw!$CF:$CF),"")</f>
        <v>0</v>
      </c>
      <c r="Y114" s="121">
        <f>IFERROR(_xlfn.XLOOKUP($A114,Input_Raw!$A:$A,Input_Raw!$CZ:$CZ),"")</f>
        <v>0</v>
      </c>
      <c r="Z114" s="121">
        <f>IFERROR(_xlfn.XLOOKUP($A114,Input_Raw!$A:$A,Input_Raw!$DA:$DA),"")</f>
        <v>0</v>
      </c>
      <c r="AA114" s="123">
        <f t="shared" si="9"/>
        <v>0</v>
      </c>
      <c r="AB114" s="121">
        <f>IFERROR(_xlfn.XLOOKUP($A114,Input_Raw!$A:$A,Input_Raw!$DG:$DG),"")</f>
        <v>0</v>
      </c>
      <c r="AC114" s="141">
        <f>IFERROR(_xlfn.XLOOKUP($D114,'Modelling New'!$D:$D,'Modelling New'!$J:$J),"")</f>
        <v>7.6000000000000005</v>
      </c>
      <c r="AD114" s="123">
        <f>IFERROR(_xlfn.XLOOKUP($D114,'Modelling New'!$D:$D,'Modelling New'!$T:$T)*1000,"")</f>
        <v>585797.81940673687</v>
      </c>
      <c r="AE114" s="140"/>
      <c r="AF114" s="140">
        <f>IFERROR(_xlfn.XLOOKUP($D114,'Modelling New'!$D:$D,'Modelling New'!$W:$W),"")</f>
        <v>0.31292618558052182</v>
      </c>
      <c r="AG114" s="140">
        <f>IFERROR(_xlfn.XLOOKUP($D114,'Modelling New'!$D:$D,'Modelling New'!$AE:$AE),"")</f>
        <v>0.96029999999999993</v>
      </c>
      <c r="AH114" s="140">
        <f>IFERROR(_xlfn.XLOOKUP($D114,'Modelling New'!$D:$D,'Modelling New'!$AF:$AF),"")</f>
        <v>0.995</v>
      </c>
      <c r="AI114" s="121">
        <f>IFERROR(_xlfn.XLOOKUP($A114,Input_Raw!$A:$A,Input_Raw!$DE:$DE),"")</f>
        <v>0</v>
      </c>
      <c r="AJ114" s="121"/>
      <c r="AK114" s="121"/>
      <c r="AL114" s="121"/>
      <c r="AM114" s="121"/>
      <c r="AN114" s="142">
        <f>IFERROR(_xlfn.XLOOKUP($A114,Input_Raw!$A:$A,Input_Raw!$DB:$DB),"")</f>
        <v>0</v>
      </c>
      <c r="AO114" s="140" t="str">
        <f>IFERROR((_xlfn.XLOOKUP($A114,'WTG Reactive Power'!$A:$A,'WTG Reactive Power'!$AR:$AR))/X114/1000,"")</f>
        <v/>
      </c>
      <c r="AP114" s="140">
        <f>IFERROR(_xlfn.XLOOKUP($D114,'Modelling New'!$D:$D,'Modelling New'!$AK:$AK),"")</f>
        <v>0.05</v>
      </c>
      <c r="AQ114" s="140">
        <f>IFERROR(_xlfn.XLOOKUP($D114,'Modelling New'!$D:$D,'Modelling New'!$AL:$AL),"")</f>
        <v>0.05</v>
      </c>
      <c r="AR114">
        <f>IFERROR(_xlfn.XLOOKUP($D114,'Modelling New'!$D:$D,'Modelling New'!$N:$N),"")</f>
        <v>78</v>
      </c>
    </row>
    <row r="115" spans="1:44">
      <c r="A115" s="134">
        <f t="shared" si="11"/>
        <v>45858</v>
      </c>
      <c r="B115" s="123">
        <f>YEAR(Table13[[#This Row],[Date]])+IF(MONTH(Table13[[#This Row],[Date]])&gt;=4,1,0)</f>
        <v>2026</v>
      </c>
      <c r="C115" s="121">
        <f>YEAR(Table13[[#This Row],[Date]])</f>
        <v>2025</v>
      </c>
      <c r="D115" s="135">
        <f>Table13[[#This Row],[Date]]-DAY(Table13[[#This Row],[Date]])+1</f>
        <v>45839</v>
      </c>
      <c r="E115" s="121">
        <f t="shared" si="8"/>
        <v>31</v>
      </c>
      <c r="F115" s="124"/>
      <c r="G115" s="125"/>
      <c r="H115" s="125"/>
      <c r="I115" s="125"/>
      <c r="J115" s="125"/>
      <c r="K115" s="136"/>
      <c r="L115" s="125"/>
      <c r="M115" s="125" t="str">
        <f>IFERROR(_xlfn.XLOOKUP($A115,Input_Raw!$A:$A,Input_Raw!CG:CG),"")</f>
        <v/>
      </c>
      <c r="N115" s="125">
        <f>IFERROR(_xlfn.XLOOKUP($A115,Input_Raw!$A:$A,Input_Raw!CH:CH),"")</f>
        <v>0</v>
      </c>
      <c r="O115" s="137" t="str">
        <f t="shared" si="10"/>
        <v/>
      </c>
      <c r="P115" s="137" t="str">
        <f>IFERROR(1-SUMIF(WTG_BD!$F:$F,$A115,WTG_BD!$AA:$AA)/($AA115+SUMIF(WTG_BD!$F:$F,$A115,WTG_BD!$AA:$AA)),"")</f>
        <v/>
      </c>
      <c r="Q115" s="138" t="str">
        <f>IFERROR(1-SUMIF(IGA_BD!$F:$F,$A115,IGA_BD!$V:$V)/($AA115+SUMIF(IGA_BD!$F:$F,$A115,IGA_BD!$V:$V)),"")</f>
        <v/>
      </c>
      <c r="R115" s="143" t="str">
        <f>IFERROR(1-SUMIF(Grid_BD!$F:$F,$A115,Grid_BD!$X:$X)/($AA115+SUMIF(Grid_BD!$F:$F,$A115,Grid_BD!$X:$X)),"")</f>
        <v/>
      </c>
      <c r="S115" s="121"/>
      <c r="T115" s="138"/>
      <c r="U115" s="139"/>
      <c r="V115" s="121"/>
      <c r="W115" s="140">
        <f>IFERROR(Table13[[#This Row],[Mtr_Net_Exp (KWh)]]/(24*AR115*1000),"")</f>
        <v>0</v>
      </c>
      <c r="X115" s="121">
        <f>IFERROR(_xlfn.XLOOKUP($A115,Input_Raw!$A:$A,Input_Raw!$CF:$CF),"")</f>
        <v>0</v>
      </c>
      <c r="Y115" s="121">
        <f>IFERROR(_xlfn.XLOOKUP($A115,Input_Raw!$A:$A,Input_Raw!$CZ:$CZ),"")</f>
        <v>0</v>
      </c>
      <c r="Z115" s="121">
        <f>IFERROR(_xlfn.XLOOKUP($A115,Input_Raw!$A:$A,Input_Raw!$DA:$DA),"")</f>
        <v>0</v>
      </c>
      <c r="AA115" s="123">
        <f t="shared" si="9"/>
        <v>0</v>
      </c>
      <c r="AB115" s="121">
        <f>IFERROR(_xlfn.XLOOKUP($A115,Input_Raw!$A:$A,Input_Raw!$DG:$DG),"")</f>
        <v>0</v>
      </c>
      <c r="AC115" s="141">
        <f>IFERROR(_xlfn.XLOOKUP($D115,'Modelling New'!$D:$D,'Modelling New'!$J:$J),"")</f>
        <v>7.6000000000000005</v>
      </c>
      <c r="AD115" s="123">
        <f>IFERROR(_xlfn.XLOOKUP($D115,'Modelling New'!$D:$D,'Modelling New'!$T:$T)*1000,"")</f>
        <v>585797.81940673687</v>
      </c>
      <c r="AE115" s="140"/>
      <c r="AF115" s="140">
        <f>IFERROR(_xlfn.XLOOKUP($D115,'Modelling New'!$D:$D,'Modelling New'!$W:$W),"")</f>
        <v>0.31292618558052182</v>
      </c>
      <c r="AG115" s="140">
        <f>IFERROR(_xlfn.XLOOKUP($D115,'Modelling New'!$D:$D,'Modelling New'!$AE:$AE),"")</f>
        <v>0.96029999999999993</v>
      </c>
      <c r="AH115" s="140">
        <f>IFERROR(_xlfn.XLOOKUP($D115,'Modelling New'!$D:$D,'Modelling New'!$AF:$AF),"")</f>
        <v>0.995</v>
      </c>
      <c r="AI115" s="121">
        <f>IFERROR(_xlfn.XLOOKUP($A115,Input_Raw!$A:$A,Input_Raw!$DE:$DE),"")</f>
        <v>0</v>
      </c>
      <c r="AJ115" s="121"/>
      <c r="AK115" s="121"/>
      <c r="AL115" s="121"/>
      <c r="AM115" s="121"/>
      <c r="AN115" s="142">
        <f>IFERROR(_xlfn.XLOOKUP($A115,Input_Raw!$A:$A,Input_Raw!$DB:$DB),"")</f>
        <v>0</v>
      </c>
      <c r="AO115" s="140" t="str">
        <f>IFERROR((_xlfn.XLOOKUP($A115,'WTG Reactive Power'!$A:$A,'WTG Reactive Power'!$AR:$AR))/X115/1000,"")</f>
        <v/>
      </c>
      <c r="AP115" s="140">
        <f>IFERROR(_xlfn.XLOOKUP($D115,'Modelling New'!$D:$D,'Modelling New'!$AK:$AK),"")</f>
        <v>0.05</v>
      </c>
      <c r="AQ115" s="140">
        <f>IFERROR(_xlfn.XLOOKUP($D115,'Modelling New'!$D:$D,'Modelling New'!$AL:$AL),"")</f>
        <v>0.05</v>
      </c>
      <c r="AR115">
        <f>IFERROR(_xlfn.XLOOKUP($D115,'Modelling New'!$D:$D,'Modelling New'!$N:$N),"")</f>
        <v>78</v>
      </c>
    </row>
    <row r="116" spans="1:44">
      <c r="A116" s="134">
        <f t="shared" si="11"/>
        <v>45859</v>
      </c>
      <c r="B116" s="123">
        <f>YEAR(Table13[[#This Row],[Date]])+IF(MONTH(Table13[[#This Row],[Date]])&gt;=4,1,0)</f>
        <v>2026</v>
      </c>
      <c r="C116" s="121">
        <f>YEAR(Table13[[#This Row],[Date]])</f>
        <v>2025</v>
      </c>
      <c r="D116" s="135">
        <f>Table13[[#This Row],[Date]]-DAY(Table13[[#This Row],[Date]])+1</f>
        <v>45839</v>
      </c>
      <c r="E116" s="121">
        <f t="shared" si="8"/>
        <v>31</v>
      </c>
      <c r="F116" s="124"/>
      <c r="G116" s="125"/>
      <c r="H116" s="125"/>
      <c r="I116" s="125"/>
      <c r="J116" s="125"/>
      <c r="K116" s="136"/>
      <c r="L116" s="125"/>
      <c r="M116" s="125" t="str">
        <f>IFERROR(_xlfn.XLOOKUP($A116,Input_Raw!$A:$A,Input_Raw!CG:CG),"")</f>
        <v/>
      </c>
      <c r="N116" s="125">
        <f>IFERROR(_xlfn.XLOOKUP($A116,Input_Raw!$A:$A,Input_Raw!CH:CH),"")</f>
        <v>0</v>
      </c>
      <c r="O116" s="137" t="str">
        <f t="shared" si="10"/>
        <v/>
      </c>
      <c r="P116" s="137" t="str">
        <f>IFERROR(1-SUMIF(WTG_BD!$F:$F,$A116,WTG_BD!$AA:$AA)/($AA116+SUMIF(WTG_BD!$F:$F,$A116,WTG_BD!$AA:$AA)),"")</f>
        <v/>
      </c>
      <c r="Q116" s="138" t="str">
        <f>IFERROR(1-SUMIF(IGA_BD!$F:$F,$A116,IGA_BD!$V:$V)/($AA116+SUMIF(IGA_BD!$F:$F,$A116,IGA_BD!$V:$V)),"")</f>
        <v/>
      </c>
      <c r="R116" s="143" t="str">
        <f>IFERROR(1-SUMIF(Grid_BD!$F:$F,$A116,Grid_BD!$X:$X)/($AA116+SUMIF(Grid_BD!$F:$F,$A116,Grid_BD!$X:$X)),"")</f>
        <v/>
      </c>
      <c r="S116" s="121"/>
      <c r="T116" s="138"/>
      <c r="U116" s="139"/>
      <c r="V116" s="121"/>
      <c r="W116" s="140">
        <f>IFERROR(Table13[[#This Row],[Mtr_Net_Exp (KWh)]]/(24*AR116*1000),"")</f>
        <v>0</v>
      </c>
      <c r="X116" s="121">
        <f>IFERROR(_xlfn.XLOOKUP($A116,Input_Raw!$A:$A,Input_Raw!$CF:$CF),"")</f>
        <v>0</v>
      </c>
      <c r="Y116" s="121">
        <f>IFERROR(_xlfn.XLOOKUP($A116,Input_Raw!$A:$A,Input_Raw!$CZ:$CZ),"")</f>
        <v>0</v>
      </c>
      <c r="Z116" s="121">
        <f>IFERROR(_xlfn.XLOOKUP($A116,Input_Raw!$A:$A,Input_Raw!$DA:$DA),"")</f>
        <v>0</v>
      </c>
      <c r="AA116" s="123">
        <f t="shared" si="9"/>
        <v>0</v>
      </c>
      <c r="AB116" s="121">
        <f>IFERROR(_xlfn.XLOOKUP($A116,Input_Raw!$A:$A,Input_Raw!$DG:$DG),"")</f>
        <v>0</v>
      </c>
      <c r="AC116" s="141">
        <f>IFERROR(_xlfn.XLOOKUP($D116,'Modelling New'!$D:$D,'Modelling New'!$J:$J),"")</f>
        <v>7.6000000000000005</v>
      </c>
      <c r="AD116" s="123">
        <f>IFERROR(_xlfn.XLOOKUP($D116,'Modelling New'!$D:$D,'Modelling New'!$T:$T)*1000,"")</f>
        <v>585797.81940673687</v>
      </c>
      <c r="AE116" s="140"/>
      <c r="AF116" s="140">
        <f>IFERROR(_xlfn.XLOOKUP($D116,'Modelling New'!$D:$D,'Modelling New'!$W:$W),"")</f>
        <v>0.31292618558052182</v>
      </c>
      <c r="AG116" s="140">
        <f>IFERROR(_xlfn.XLOOKUP($D116,'Modelling New'!$D:$D,'Modelling New'!$AE:$AE),"")</f>
        <v>0.96029999999999993</v>
      </c>
      <c r="AH116" s="140">
        <f>IFERROR(_xlfn.XLOOKUP($D116,'Modelling New'!$D:$D,'Modelling New'!$AF:$AF),"")</f>
        <v>0.995</v>
      </c>
      <c r="AI116" s="121">
        <f>IFERROR(_xlfn.XLOOKUP($A116,Input_Raw!$A:$A,Input_Raw!$DE:$DE),"")</f>
        <v>0</v>
      </c>
      <c r="AJ116" s="121"/>
      <c r="AK116" s="121"/>
      <c r="AL116" s="121"/>
      <c r="AM116" s="121"/>
      <c r="AN116" s="142">
        <f>IFERROR(_xlfn.XLOOKUP($A116,Input_Raw!$A:$A,Input_Raw!$DB:$DB),"")</f>
        <v>0</v>
      </c>
      <c r="AO116" s="140" t="str">
        <f>IFERROR((_xlfn.XLOOKUP($A116,'WTG Reactive Power'!$A:$A,'WTG Reactive Power'!$AR:$AR))/X116/1000,"")</f>
        <v/>
      </c>
      <c r="AP116" s="140">
        <f>IFERROR(_xlfn.XLOOKUP($D116,'Modelling New'!$D:$D,'Modelling New'!$AK:$AK),"")</f>
        <v>0.05</v>
      </c>
      <c r="AQ116" s="140">
        <f>IFERROR(_xlfn.XLOOKUP($D116,'Modelling New'!$D:$D,'Modelling New'!$AL:$AL),"")</f>
        <v>0.05</v>
      </c>
      <c r="AR116">
        <f>IFERROR(_xlfn.XLOOKUP($D116,'Modelling New'!$D:$D,'Modelling New'!$N:$N),"")</f>
        <v>78</v>
      </c>
    </row>
    <row r="117" spans="1:44">
      <c r="A117" s="134">
        <f t="shared" si="11"/>
        <v>45860</v>
      </c>
      <c r="B117" s="123">
        <f>YEAR(Table13[[#This Row],[Date]])+IF(MONTH(Table13[[#This Row],[Date]])&gt;=4,1,0)</f>
        <v>2026</v>
      </c>
      <c r="C117" s="121">
        <f>YEAR(Table13[[#This Row],[Date]])</f>
        <v>2025</v>
      </c>
      <c r="D117" s="135">
        <f>Table13[[#This Row],[Date]]-DAY(Table13[[#This Row],[Date]])+1</f>
        <v>45839</v>
      </c>
      <c r="E117" s="121">
        <f t="shared" si="8"/>
        <v>31</v>
      </c>
      <c r="F117" s="124"/>
      <c r="G117" s="125"/>
      <c r="H117" s="125"/>
      <c r="I117" s="125"/>
      <c r="J117" s="125"/>
      <c r="K117" s="136"/>
      <c r="L117" s="125"/>
      <c r="M117" s="125" t="str">
        <f>IFERROR(_xlfn.XLOOKUP($A117,Input_Raw!$A:$A,Input_Raw!CG:CG),"")</f>
        <v/>
      </c>
      <c r="N117" s="125">
        <f>IFERROR(_xlfn.XLOOKUP($A117,Input_Raw!$A:$A,Input_Raw!CH:CH),"")</f>
        <v>0</v>
      </c>
      <c r="O117" s="137" t="str">
        <f t="shared" si="10"/>
        <v/>
      </c>
      <c r="P117" s="137" t="str">
        <f>IFERROR(1-SUMIF(WTG_BD!$F:$F,$A117,WTG_BD!$AA:$AA)/($AA117+SUMIF(WTG_BD!$F:$F,$A117,WTG_BD!$AA:$AA)),"")</f>
        <v/>
      </c>
      <c r="Q117" s="138" t="str">
        <f>IFERROR(1-SUMIF(IGA_BD!$F:$F,$A117,IGA_BD!$V:$V)/($AA117+SUMIF(IGA_BD!$F:$F,$A117,IGA_BD!$V:$V)),"")</f>
        <v/>
      </c>
      <c r="R117" s="143" t="str">
        <f>IFERROR(1-SUMIF(Grid_BD!$F:$F,$A117,Grid_BD!$X:$X)/($AA117+SUMIF(Grid_BD!$F:$F,$A117,Grid_BD!$X:$X)),"")</f>
        <v/>
      </c>
      <c r="S117" s="121"/>
      <c r="T117" s="138"/>
      <c r="U117" s="139"/>
      <c r="V117" s="121"/>
      <c r="W117" s="140">
        <f>IFERROR(Table13[[#This Row],[Mtr_Net_Exp (KWh)]]/(24*AR117*1000),"")</f>
        <v>0</v>
      </c>
      <c r="X117" s="121">
        <f>IFERROR(_xlfn.XLOOKUP($A117,Input_Raw!$A:$A,Input_Raw!$CF:$CF),"")</f>
        <v>0</v>
      </c>
      <c r="Y117" s="121">
        <f>IFERROR(_xlfn.XLOOKUP($A117,Input_Raw!$A:$A,Input_Raw!$CZ:$CZ),"")</f>
        <v>0</v>
      </c>
      <c r="Z117" s="121">
        <f>IFERROR(_xlfn.XLOOKUP($A117,Input_Raw!$A:$A,Input_Raw!$DA:$DA),"")</f>
        <v>0</v>
      </c>
      <c r="AA117" s="123">
        <f t="shared" si="9"/>
        <v>0</v>
      </c>
      <c r="AB117" s="121">
        <f>IFERROR(_xlfn.XLOOKUP($A117,Input_Raw!$A:$A,Input_Raw!$DG:$DG),"")</f>
        <v>0</v>
      </c>
      <c r="AC117" s="141">
        <f>IFERROR(_xlfn.XLOOKUP($D117,'Modelling New'!$D:$D,'Modelling New'!$J:$J),"")</f>
        <v>7.6000000000000005</v>
      </c>
      <c r="AD117" s="123">
        <f>IFERROR(_xlfn.XLOOKUP($D117,'Modelling New'!$D:$D,'Modelling New'!$T:$T)*1000,"")</f>
        <v>585797.81940673687</v>
      </c>
      <c r="AE117" s="140"/>
      <c r="AF117" s="140">
        <f>IFERROR(_xlfn.XLOOKUP($D117,'Modelling New'!$D:$D,'Modelling New'!$W:$W),"")</f>
        <v>0.31292618558052182</v>
      </c>
      <c r="AG117" s="140">
        <f>IFERROR(_xlfn.XLOOKUP($D117,'Modelling New'!$D:$D,'Modelling New'!$AE:$AE),"")</f>
        <v>0.96029999999999993</v>
      </c>
      <c r="AH117" s="140">
        <f>IFERROR(_xlfn.XLOOKUP($D117,'Modelling New'!$D:$D,'Modelling New'!$AF:$AF),"")</f>
        <v>0.995</v>
      </c>
      <c r="AI117" s="121">
        <f>IFERROR(_xlfn.XLOOKUP($A117,Input_Raw!$A:$A,Input_Raw!$DE:$DE),"")</f>
        <v>0</v>
      </c>
      <c r="AJ117" s="121"/>
      <c r="AK117" s="121"/>
      <c r="AL117" s="121"/>
      <c r="AM117" s="121"/>
      <c r="AN117" s="142">
        <f>IFERROR(_xlfn.XLOOKUP($A117,Input_Raw!$A:$A,Input_Raw!$DB:$DB),"")</f>
        <v>0</v>
      </c>
      <c r="AO117" s="140" t="str">
        <f>IFERROR((_xlfn.XLOOKUP($A117,'WTG Reactive Power'!$A:$A,'WTG Reactive Power'!$AR:$AR))/X117/1000,"")</f>
        <v/>
      </c>
      <c r="AP117" s="140">
        <f>IFERROR(_xlfn.XLOOKUP($D117,'Modelling New'!$D:$D,'Modelling New'!$AK:$AK),"")</f>
        <v>0.05</v>
      </c>
      <c r="AQ117" s="140">
        <f>IFERROR(_xlfn.XLOOKUP($D117,'Modelling New'!$D:$D,'Modelling New'!$AL:$AL),"")</f>
        <v>0.05</v>
      </c>
      <c r="AR117">
        <f>IFERROR(_xlfn.XLOOKUP($D117,'Modelling New'!$D:$D,'Modelling New'!$N:$N),"")</f>
        <v>78</v>
      </c>
    </row>
    <row r="118" spans="1:44">
      <c r="A118" s="134">
        <f t="shared" si="11"/>
        <v>45861</v>
      </c>
      <c r="B118" s="123">
        <f>YEAR(Table13[[#This Row],[Date]])+IF(MONTH(Table13[[#This Row],[Date]])&gt;=4,1,0)</f>
        <v>2026</v>
      </c>
      <c r="C118" s="121">
        <f>YEAR(Table13[[#This Row],[Date]])</f>
        <v>2025</v>
      </c>
      <c r="D118" s="135">
        <f>Table13[[#This Row],[Date]]-DAY(Table13[[#This Row],[Date]])+1</f>
        <v>45839</v>
      </c>
      <c r="E118" s="121">
        <f t="shared" si="8"/>
        <v>31</v>
      </c>
      <c r="F118" s="124"/>
      <c r="G118" s="125"/>
      <c r="H118" s="125"/>
      <c r="I118" s="125"/>
      <c r="J118" s="125"/>
      <c r="K118" s="136"/>
      <c r="L118" s="125"/>
      <c r="M118" s="125" t="str">
        <f>IFERROR(_xlfn.XLOOKUP($A118,Input_Raw!$A:$A,Input_Raw!CG:CG),"")</f>
        <v/>
      </c>
      <c r="N118" s="125">
        <f>IFERROR(_xlfn.XLOOKUP($A118,Input_Raw!$A:$A,Input_Raw!CH:CH),"")</f>
        <v>0</v>
      </c>
      <c r="O118" s="137" t="str">
        <f t="shared" si="10"/>
        <v/>
      </c>
      <c r="P118" s="137" t="str">
        <f>IFERROR(1-SUMIF(WTG_BD!$F:$F,$A118,WTG_BD!$AA:$AA)/($AA118+SUMIF(WTG_BD!$F:$F,$A118,WTG_BD!$AA:$AA)),"")</f>
        <v/>
      </c>
      <c r="Q118" s="138" t="str">
        <f>IFERROR(1-SUMIF(IGA_BD!$F:$F,$A118,IGA_BD!$V:$V)/($AA118+SUMIF(IGA_BD!$F:$F,$A118,IGA_BD!$V:$V)),"")</f>
        <v/>
      </c>
      <c r="R118" s="143" t="str">
        <f>IFERROR(1-SUMIF(Grid_BD!$F:$F,$A118,Grid_BD!$X:$X)/($AA118+SUMIF(Grid_BD!$F:$F,$A118,Grid_BD!$X:$X)),"")</f>
        <v/>
      </c>
      <c r="S118" s="121"/>
      <c r="T118" s="138"/>
      <c r="U118" s="139"/>
      <c r="V118" s="121"/>
      <c r="W118" s="140">
        <f>IFERROR(Table13[[#This Row],[Mtr_Net_Exp (KWh)]]/(24*AR118*1000),"")</f>
        <v>0</v>
      </c>
      <c r="X118" s="121">
        <f>IFERROR(_xlfn.XLOOKUP($A118,Input_Raw!$A:$A,Input_Raw!$CF:$CF),"")</f>
        <v>0</v>
      </c>
      <c r="Y118" s="121">
        <f>IFERROR(_xlfn.XLOOKUP($A118,Input_Raw!$A:$A,Input_Raw!$CZ:$CZ),"")</f>
        <v>0</v>
      </c>
      <c r="Z118" s="121">
        <f>IFERROR(_xlfn.XLOOKUP($A118,Input_Raw!$A:$A,Input_Raw!$DA:$DA),"")</f>
        <v>0</v>
      </c>
      <c r="AA118" s="123">
        <f t="shared" si="9"/>
        <v>0</v>
      </c>
      <c r="AB118" s="121">
        <f>IFERROR(_xlfn.XLOOKUP($A118,Input_Raw!$A:$A,Input_Raw!$DG:$DG),"")</f>
        <v>0</v>
      </c>
      <c r="AC118" s="141">
        <f>IFERROR(_xlfn.XLOOKUP($D118,'Modelling New'!$D:$D,'Modelling New'!$J:$J),"")</f>
        <v>7.6000000000000005</v>
      </c>
      <c r="AD118" s="123">
        <f>IFERROR(_xlfn.XLOOKUP($D118,'Modelling New'!$D:$D,'Modelling New'!$T:$T)*1000,"")</f>
        <v>585797.81940673687</v>
      </c>
      <c r="AE118" s="140"/>
      <c r="AF118" s="140">
        <f>IFERROR(_xlfn.XLOOKUP($D118,'Modelling New'!$D:$D,'Modelling New'!$W:$W),"")</f>
        <v>0.31292618558052182</v>
      </c>
      <c r="AG118" s="140">
        <f>IFERROR(_xlfn.XLOOKUP($D118,'Modelling New'!$D:$D,'Modelling New'!$AE:$AE),"")</f>
        <v>0.96029999999999993</v>
      </c>
      <c r="AH118" s="140">
        <f>IFERROR(_xlfn.XLOOKUP($D118,'Modelling New'!$D:$D,'Modelling New'!$AF:$AF),"")</f>
        <v>0.995</v>
      </c>
      <c r="AI118" s="121">
        <f>IFERROR(_xlfn.XLOOKUP($A118,Input_Raw!$A:$A,Input_Raw!$DE:$DE),"")</f>
        <v>0</v>
      </c>
      <c r="AJ118" s="121"/>
      <c r="AK118" s="121"/>
      <c r="AL118" s="121"/>
      <c r="AM118" s="121"/>
      <c r="AN118" s="142">
        <f>IFERROR(_xlfn.XLOOKUP($A118,Input_Raw!$A:$A,Input_Raw!$DB:$DB),"")</f>
        <v>0</v>
      </c>
      <c r="AO118" s="140" t="str">
        <f>IFERROR((_xlfn.XLOOKUP($A118,'WTG Reactive Power'!$A:$A,'WTG Reactive Power'!$AR:$AR))/X118/1000,"")</f>
        <v/>
      </c>
      <c r="AP118" s="140">
        <f>IFERROR(_xlfn.XLOOKUP($D118,'Modelling New'!$D:$D,'Modelling New'!$AK:$AK),"")</f>
        <v>0.05</v>
      </c>
      <c r="AQ118" s="140">
        <f>IFERROR(_xlfn.XLOOKUP($D118,'Modelling New'!$D:$D,'Modelling New'!$AL:$AL),"")</f>
        <v>0.05</v>
      </c>
      <c r="AR118">
        <f>IFERROR(_xlfn.XLOOKUP($D118,'Modelling New'!$D:$D,'Modelling New'!$N:$N),"")</f>
        <v>78</v>
      </c>
    </row>
    <row r="119" spans="1:44">
      <c r="A119" s="134">
        <f t="shared" si="11"/>
        <v>45862</v>
      </c>
      <c r="B119" s="123">
        <f>YEAR(Table13[[#This Row],[Date]])+IF(MONTH(Table13[[#This Row],[Date]])&gt;=4,1,0)</f>
        <v>2026</v>
      </c>
      <c r="C119" s="121">
        <f>YEAR(Table13[[#This Row],[Date]])</f>
        <v>2025</v>
      </c>
      <c r="D119" s="135">
        <f>Table13[[#This Row],[Date]]-DAY(Table13[[#This Row],[Date]])+1</f>
        <v>45839</v>
      </c>
      <c r="E119" s="121">
        <f t="shared" si="8"/>
        <v>31</v>
      </c>
      <c r="F119" s="124"/>
      <c r="G119" s="125"/>
      <c r="H119" s="125"/>
      <c r="I119" s="125"/>
      <c r="J119" s="125"/>
      <c r="K119" s="136"/>
      <c r="L119" s="125"/>
      <c r="M119" s="125" t="str">
        <f>IFERROR(_xlfn.XLOOKUP($A119,Input_Raw!$A:$A,Input_Raw!CG:CG),"")</f>
        <v/>
      </c>
      <c r="N119" s="125">
        <f>IFERROR(_xlfn.XLOOKUP($A119,Input_Raw!$A:$A,Input_Raw!CH:CH),"")</f>
        <v>0</v>
      </c>
      <c r="O119" s="137" t="str">
        <f t="shared" si="10"/>
        <v/>
      </c>
      <c r="P119" s="137" t="str">
        <f>IFERROR(1-SUMIF(WTG_BD!$F:$F,$A119,WTG_BD!$AA:$AA)/($AA119+SUMIF(WTG_BD!$F:$F,$A119,WTG_BD!$AA:$AA)),"")</f>
        <v/>
      </c>
      <c r="Q119" s="138" t="str">
        <f>IFERROR(1-SUMIF(IGA_BD!$F:$F,$A119,IGA_BD!$V:$V)/($AA119+SUMIF(IGA_BD!$F:$F,$A119,IGA_BD!$V:$V)),"")</f>
        <v/>
      </c>
      <c r="R119" s="143" t="str">
        <f>IFERROR(1-SUMIF(Grid_BD!$F:$F,$A119,Grid_BD!$X:$X)/($AA119+SUMIF(Grid_BD!$F:$F,$A119,Grid_BD!$X:$X)),"")</f>
        <v/>
      </c>
      <c r="S119" s="121"/>
      <c r="T119" s="138"/>
      <c r="U119" s="139"/>
      <c r="V119" s="121"/>
      <c r="W119" s="140">
        <f>IFERROR(Table13[[#This Row],[Mtr_Net_Exp (KWh)]]/(24*AR119*1000),"")</f>
        <v>0</v>
      </c>
      <c r="X119" s="121">
        <f>IFERROR(_xlfn.XLOOKUP($A119,Input_Raw!$A:$A,Input_Raw!$CF:$CF),"")</f>
        <v>0</v>
      </c>
      <c r="Y119" s="121">
        <f>IFERROR(_xlfn.XLOOKUP($A119,Input_Raw!$A:$A,Input_Raw!$CZ:$CZ),"")</f>
        <v>0</v>
      </c>
      <c r="Z119" s="121">
        <f>IFERROR(_xlfn.XLOOKUP($A119,Input_Raw!$A:$A,Input_Raw!$DA:$DA),"")</f>
        <v>0</v>
      </c>
      <c r="AA119" s="123">
        <f t="shared" si="9"/>
        <v>0</v>
      </c>
      <c r="AB119" s="121">
        <f>IFERROR(_xlfn.XLOOKUP($A119,Input_Raw!$A:$A,Input_Raw!$DG:$DG),"")</f>
        <v>0</v>
      </c>
      <c r="AC119" s="141">
        <f>IFERROR(_xlfn.XLOOKUP($D119,'Modelling New'!$D:$D,'Modelling New'!$J:$J),"")</f>
        <v>7.6000000000000005</v>
      </c>
      <c r="AD119" s="123">
        <f>IFERROR(_xlfn.XLOOKUP($D119,'Modelling New'!$D:$D,'Modelling New'!$T:$T)*1000,"")</f>
        <v>585797.81940673687</v>
      </c>
      <c r="AE119" s="140"/>
      <c r="AF119" s="140">
        <f>IFERROR(_xlfn.XLOOKUP($D119,'Modelling New'!$D:$D,'Modelling New'!$W:$W),"")</f>
        <v>0.31292618558052182</v>
      </c>
      <c r="AG119" s="140">
        <f>IFERROR(_xlfn.XLOOKUP($D119,'Modelling New'!$D:$D,'Modelling New'!$AE:$AE),"")</f>
        <v>0.96029999999999993</v>
      </c>
      <c r="AH119" s="140">
        <f>IFERROR(_xlfn.XLOOKUP($D119,'Modelling New'!$D:$D,'Modelling New'!$AF:$AF),"")</f>
        <v>0.995</v>
      </c>
      <c r="AI119" s="121">
        <f>IFERROR(_xlfn.XLOOKUP($A119,Input_Raw!$A:$A,Input_Raw!$DE:$DE),"")</f>
        <v>0</v>
      </c>
      <c r="AJ119" s="121"/>
      <c r="AK119" s="121"/>
      <c r="AL119" s="121"/>
      <c r="AM119" s="121"/>
      <c r="AN119" s="142">
        <f>IFERROR(_xlfn.XLOOKUP($A119,Input_Raw!$A:$A,Input_Raw!$DB:$DB),"")</f>
        <v>0</v>
      </c>
      <c r="AO119" s="140" t="str">
        <f>IFERROR((_xlfn.XLOOKUP($A119,'WTG Reactive Power'!$A:$A,'WTG Reactive Power'!$AR:$AR))/X119/1000,"")</f>
        <v/>
      </c>
      <c r="AP119" s="140">
        <f>IFERROR(_xlfn.XLOOKUP($D119,'Modelling New'!$D:$D,'Modelling New'!$AK:$AK),"")</f>
        <v>0.05</v>
      </c>
      <c r="AQ119" s="140">
        <f>IFERROR(_xlfn.XLOOKUP($D119,'Modelling New'!$D:$D,'Modelling New'!$AL:$AL),"")</f>
        <v>0.05</v>
      </c>
      <c r="AR119">
        <f>IFERROR(_xlfn.XLOOKUP($D119,'Modelling New'!$D:$D,'Modelling New'!$N:$N),"")</f>
        <v>78</v>
      </c>
    </row>
    <row r="120" spans="1:44">
      <c r="A120" s="134">
        <f t="shared" si="11"/>
        <v>45863</v>
      </c>
      <c r="B120" s="123">
        <f>YEAR(Table13[[#This Row],[Date]])+IF(MONTH(Table13[[#This Row],[Date]])&gt;=4,1,0)</f>
        <v>2026</v>
      </c>
      <c r="C120" s="121">
        <f>YEAR(Table13[[#This Row],[Date]])</f>
        <v>2025</v>
      </c>
      <c r="D120" s="135">
        <f>Table13[[#This Row],[Date]]-DAY(Table13[[#This Row],[Date]])+1</f>
        <v>45839</v>
      </c>
      <c r="E120" s="121">
        <f t="shared" si="8"/>
        <v>31</v>
      </c>
      <c r="F120" s="124"/>
      <c r="G120" s="125"/>
      <c r="H120" s="125"/>
      <c r="I120" s="125"/>
      <c r="J120" s="125"/>
      <c r="K120" s="136"/>
      <c r="L120" s="125"/>
      <c r="M120" s="125" t="str">
        <f>IFERROR(_xlfn.XLOOKUP($A120,Input_Raw!$A:$A,Input_Raw!CG:CG),"")</f>
        <v/>
      </c>
      <c r="N120" s="125">
        <f>IFERROR(_xlfn.XLOOKUP($A120,Input_Raw!$A:$A,Input_Raw!CH:CH),"")</f>
        <v>0</v>
      </c>
      <c r="O120" s="137" t="str">
        <f t="shared" si="10"/>
        <v/>
      </c>
      <c r="P120" s="137" t="str">
        <f>IFERROR(1-SUMIF(WTG_BD!$F:$F,$A120,WTG_BD!$AA:$AA)/($AA120+SUMIF(WTG_BD!$F:$F,$A120,WTG_BD!$AA:$AA)),"")</f>
        <v/>
      </c>
      <c r="Q120" s="138" t="str">
        <f>IFERROR(1-SUMIF(IGA_BD!$F:$F,$A120,IGA_BD!$V:$V)/($AA120+SUMIF(IGA_BD!$F:$F,$A120,IGA_BD!$V:$V)),"")</f>
        <v/>
      </c>
      <c r="R120" s="143" t="str">
        <f>IFERROR(1-SUMIF(Grid_BD!$F:$F,$A120,Grid_BD!$X:$X)/($AA120+SUMIF(Grid_BD!$F:$F,$A120,Grid_BD!$X:$X)),"")</f>
        <v/>
      </c>
      <c r="S120" s="121"/>
      <c r="T120" s="138"/>
      <c r="U120" s="139"/>
      <c r="V120" s="121"/>
      <c r="W120" s="140">
        <f>IFERROR(Table13[[#This Row],[Mtr_Net_Exp (KWh)]]/(24*AR120*1000),"")</f>
        <v>0</v>
      </c>
      <c r="X120" s="121">
        <f>IFERROR(_xlfn.XLOOKUP($A120,Input_Raw!$A:$A,Input_Raw!$CF:$CF),"")</f>
        <v>0</v>
      </c>
      <c r="Y120" s="121">
        <f>IFERROR(_xlfn.XLOOKUP($A120,Input_Raw!$A:$A,Input_Raw!$CZ:$CZ),"")</f>
        <v>0</v>
      </c>
      <c r="Z120" s="121">
        <f>IFERROR(_xlfn.XLOOKUP($A120,Input_Raw!$A:$A,Input_Raw!$DA:$DA),"")</f>
        <v>0</v>
      </c>
      <c r="AA120" s="123">
        <f t="shared" si="9"/>
        <v>0</v>
      </c>
      <c r="AB120" s="121">
        <f>IFERROR(_xlfn.XLOOKUP($A120,Input_Raw!$A:$A,Input_Raw!$DG:$DG),"")</f>
        <v>0</v>
      </c>
      <c r="AC120" s="141">
        <f>IFERROR(_xlfn.XLOOKUP($D120,'Modelling New'!$D:$D,'Modelling New'!$J:$J),"")</f>
        <v>7.6000000000000005</v>
      </c>
      <c r="AD120" s="123">
        <f>IFERROR(_xlfn.XLOOKUP($D120,'Modelling New'!$D:$D,'Modelling New'!$T:$T)*1000,"")</f>
        <v>585797.81940673687</v>
      </c>
      <c r="AE120" s="140"/>
      <c r="AF120" s="140">
        <f>IFERROR(_xlfn.XLOOKUP($D120,'Modelling New'!$D:$D,'Modelling New'!$W:$W),"")</f>
        <v>0.31292618558052182</v>
      </c>
      <c r="AG120" s="140">
        <f>IFERROR(_xlfn.XLOOKUP($D120,'Modelling New'!$D:$D,'Modelling New'!$AE:$AE),"")</f>
        <v>0.96029999999999993</v>
      </c>
      <c r="AH120" s="140">
        <f>IFERROR(_xlfn.XLOOKUP($D120,'Modelling New'!$D:$D,'Modelling New'!$AF:$AF),"")</f>
        <v>0.995</v>
      </c>
      <c r="AI120" s="121">
        <f>IFERROR(_xlfn.XLOOKUP($A120,Input_Raw!$A:$A,Input_Raw!$DE:$DE),"")</f>
        <v>0</v>
      </c>
      <c r="AJ120" s="121"/>
      <c r="AK120" s="121"/>
      <c r="AL120" s="121"/>
      <c r="AM120" s="121"/>
      <c r="AN120" s="142">
        <f>IFERROR(_xlfn.XLOOKUP($A120,Input_Raw!$A:$A,Input_Raw!$DB:$DB),"")</f>
        <v>0</v>
      </c>
      <c r="AO120" s="140" t="str">
        <f>IFERROR((_xlfn.XLOOKUP($A120,'WTG Reactive Power'!$A:$A,'WTG Reactive Power'!$AR:$AR))/X120/1000,"")</f>
        <v/>
      </c>
      <c r="AP120" s="140">
        <f>IFERROR(_xlfn.XLOOKUP($D120,'Modelling New'!$D:$D,'Modelling New'!$AK:$AK),"")</f>
        <v>0.05</v>
      </c>
      <c r="AQ120" s="140">
        <f>IFERROR(_xlfn.XLOOKUP($D120,'Modelling New'!$D:$D,'Modelling New'!$AL:$AL),"")</f>
        <v>0.05</v>
      </c>
      <c r="AR120">
        <f>IFERROR(_xlfn.XLOOKUP($D120,'Modelling New'!$D:$D,'Modelling New'!$N:$N),"")</f>
        <v>78</v>
      </c>
    </row>
    <row r="121" spans="1:44">
      <c r="A121" s="134">
        <f t="shared" si="11"/>
        <v>45864</v>
      </c>
      <c r="B121" s="123">
        <f>YEAR(Table13[[#This Row],[Date]])+IF(MONTH(Table13[[#This Row],[Date]])&gt;=4,1,0)</f>
        <v>2026</v>
      </c>
      <c r="C121" s="121">
        <f>YEAR(Table13[[#This Row],[Date]])</f>
        <v>2025</v>
      </c>
      <c r="D121" s="135">
        <f>Table13[[#This Row],[Date]]-DAY(Table13[[#This Row],[Date]])+1</f>
        <v>45839</v>
      </c>
      <c r="E121" s="121">
        <f t="shared" si="8"/>
        <v>31</v>
      </c>
      <c r="F121" s="124"/>
      <c r="G121" s="125"/>
      <c r="H121" s="125"/>
      <c r="I121" s="125"/>
      <c r="J121" s="125"/>
      <c r="K121" s="136"/>
      <c r="L121" s="125"/>
      <c r="M121" s="125" t="str">
        <f>IFERROR(_xlfn.XLOOKUP($A121,Input_Raw!$A:$A,Input_Raw!CG:CG),"")</f>
        <v/>
      </c>
      <c r="N121" s="125">
        <f>IFERROR(_xlfn.XLOOKUP($A121,Input_Raw!$A:$A,Input_Raw!CH:CH),"")</f>
        <v>0</v>
      </c>
      <c r="O121" s="137" t="str">
        <f t="shared" si="10"/>
        <v/>
      </c>
      <c r="P121" s="137" t="str">
        <f>IFERROR(1-SUMIF(WTG_BD!$F:$F,$A121,WTG_BD!$AA:$AA)/($AA121+SUMIF(WTG_BD!$F:$F,$A121,WTG_BD!$AA:$AA)),"")</f>
        <v/>
      </c>
      <c r="Q121" s="138" t="str">
        <f>IFERROR(1-SUMIF(IGA_BD!$F:$F,$A121,IGA_BD!$V:$V)/($AA121+SUMIF(IGA_BD!$F:$F,$A121,IGA_BD!$V:$V)),"")</f>
        <v/>
      </c>
      <c r="R121" s="143" t="str">
        <f>IFERROR(1-SUMIF(Grid_BD!$F:$F,$A121,Grid_BD!$X:$X)/($AA121+SUMIF(Grid_BD!$F:$F,$A121,Grid_BD!$X:$X)),"")</f>
        <v/>
      </c>
      <c r="S121" s="121"/>
      <c r="T121" s="138"/>
      <c r="U121" s="139"/>
      <c r="V121" s="121"/>
      <c r="W121" s="140">
        <f>IFERROR(Table13[[#This Row],[Mtr_Net_Exp (KWh)]]/(24*AR121*1000),"")</f>
        <v>0</v>
      </c>
      <c r="X121" s="121">
        <f>IFERROR(_xlfn.XLOOKUP($A121,Input_Raw!$A:$A,Input_Raw!$CF:$CF),"")</f>
        <v>0</v>
      </c>
      <c r="Y121" s="121">
        <f>IFERROR(_xlfn.XLOOKUP($A121,Input_Raw!$A:$A,Input_Raw!$CZ:$CZ),"")</f>
        <v>0</v>
      </c>
      <c r="Z121" s="121">
        <f>IFERROR(_xlfn.XLOOKUP($A121,Input_Raw!$A:$A,Input_Raw!$DA:$DA),"")</f>
        <v>0</v>
      </c>
      <c r="AA121" s="123">
        <f t="shared" si="9"/>
        <v>0</v>
      </c>
      <c r="AB121" s="121">
        <f>IFERROR(_xlfn.XLOOKUP($A121,Input_Raw!$A:$A,Input_Raw!$DG:$DG),"")</f>
        <v>0</v>
      </c>
      <c r="AC121" s="141">
        <f>IFERROR(_xlfn.XLOOKUP($D121,'Modelling New'!$D:$D,'Modelling New'!$J:$J),"")</f>
        <v>7.6000000000000005</v>
      </c>
      <c r="AD121" s="123">
        <f>IFERROR(_xlfn.XLOOKUP($D121,'Modelling New'!$D:$D,'Modelling New'!$T:$T)*1000,"")</f>
        <v>585797.81940673687</v>
      </c>
      <c r="AE121" s="140"/>
      <c r="AF121" s="140">
        <f>IFERROR(_xlfn.XLOOKUP($D121,'Modelling New'!$D:$D,'Modelling New'!$W:$W),"")</f>
        <v>0.31292618558052182</v>
      </c>
      <c r="AG121" s="140">
        <f>IFERROR(_xlfn.XLOOKUP($D121,'Modelling New'!$D:$D,'Modelling New'!$AE:$AE),"")</f>
        <v>0.96029999999999993</v>
      </c>
      <c r="AH121" s="140">
        <f>IFERROR(_xlfn.XLOOKUP($D121,'Modelling New'!$D:$D,'Modelling New'!$AF:$AF),"")</f>
        <v>0.995</v>
      </c>
      <c r="AI121" s="121">
        <f>IFERROR(_xlfn.XLOOKUP($A121,Input_Raw!$A:$A,Input_Raw!$DE:$DE),"")</f>
        <v>0</v>
      </c>
      <c r="AJ121" s="121"/>
      <c r="AK121" s="121"/>
      <c r="AL121" s="121"/>
      <c r="AM121" s="121"/>
      <c r="AN121" s="142">
        <f>IFERROR(_xlfn.XLOOKUP($A121,Input_Raw!$A:$A,Input_Raw!$DB:$DB),"")</f>
        <v>0</v>
      </c>
      <c r="AO121" s="140" t="str">
        <f>IFERROR((_xlfn.XLOOKUP($A121,'WTG Reactive Power'!$A:$A,'WTG Reactive Power'!$AR:$AR))/X121/1000,"")</f>
        <v/>
      </c>
      <c r="AP121" s="140">
        <f>IFERROR(_xlfn.XLOOKUP($D121,'Modelling New'!$D:$D,'Modelling New'!$AK:$AK),"")</f>
        <v>0.05</v>
      </c>
      <c r="AQ121" s="140">
        <f>IFERROR(_xlfn.XLOOKUP($D121,'Modelling New'!$D:$D,'Modelling New'!$AL:$AL),"")</f>
        <v>0.05</v>
      </c>
      <c r="AR121">
        <f>IFERROR(_xlfn.XLOOKUP($D121,'Modelling New'!$D:$D,'Modelling New'!$N:$N),"")</f>
        <v>78</v>
      </c>
    </row>
    <row r="122" spans="1:44">
      <c r="A122" s="134">
        <f t="shared" si="11"/>
        <v>45865</v>
      </c>
      <c r="B122" s="123">
        <f>YEAR(Table13[[#This Row],[Date]])+IF(MONTH(Table13[[#This Row],[Date]])&gt;=4,1,0)</f>
        <v>2026</v>
      </c>
      <c r="C122" s="121">
        <f>YEAR(Table13[[#This Row],[Date]])</f>
        <v>2025</v>
      </c>
      <c r="D122" s="135">
        <f>Table13[[#This Row],[Date]]-DAY(Table13[[#This Row],[Date]])+1</f>
        <v>45839</v>
      </c>
      <c r="E122" s="121">
        <f t="shared" si="8"/>
        <v>31</v>
      </c>
      <c r="F122" s="124"/>
      <c r="G122" s="125"/>
      <c r="H122" s="125"/>
      <c r="I122" s="125"/>
      <c r="J122" s="125"/>
      <c r="K122" s="136"/>
      <c r="L122" s="125"/>
      <c r="M122" s="125" t="str">
        <f>IFERROR(_xlfn.XLOOKUP($A122,Input_Raw!$A:$A,Input_Raw!CG:CG),"")</f>
        <v/>
      </c>
      <c r="N122" s="125">
        <f>IFERROR(_xlfn.XLOOKUP($A122,Input_Raw!$A:$A,Input_Raw!CH:CH),"")</f>
        <v>0</v>
      </c>
      <c r="O122" s="137" t="str">
        <f t="shared" si="10"/>
        <v/>
      </c>
      <c r="P122" s="137" t="str">
        <f>IFERROR(1-SUMIF(WTG_BD!$F:$F,$A122,WTG_BD!$AA:$AA)/($AA122+SUMIF(WTG_BD!$F:$F,$A122,WTG_BD!$AA:$AA)),"")</f>
        <v/>
      </c>
      <c r="Q122" s="138" t="str">
        <f>IFERROR(1-SUMIF(IGA_BD!$F:$F,$A122,IGA_BD!$V:$V)/($AA122+SUMIF(IGA_BD!$F:$F,$A122,IGA_BD!$V:$V)),"")</f>
        <v/>
      </c>
      <c r="R122" s="143" t="str">
        <f>IFERROR(1-SUMIF(Grid_BD!$F:$F,$A122,Grid_BD!$X:$X)/($AA122+SUMIF(Grid_BD!$F:$F,$A122,Grid_BD!$X:$X)),"")</f>
        <v/>
      </c>
      <c r="S122" s="121"/>
      <c r="T122" s="138"/>
      <c r="U122" s="139"/>
      <c r="V122" s="121"/>
      <c r="W122" s="140">
        <f>IFERROR(Table13[[#This Row],[Mtr_Net_Exp (KWh)]]/(24*AR122*1000),"")</f>
        <v>0</v>
      </c>
      <c r="X122" s="121">
        <f>IFERROR(_xlfn.XLOOKUP($A122,Input_Raw!$A:$A,Input_Raw!$CF:$CF),"")</f>
        <v>0</v>
      </c>
      <c r="Y122" s="121">
        <f>IFERROR(_xlfn.XLOOKUP($A122,Input_Raw!$A:$A,Input_Raw!$CZ:$CZ),"")</f>
        <v>0</v>
      </c>
      <c r="Z122" s="121">
        <f>IFERROR(_xlfn.XLOOKUP($A122,Input_Raw!$A:$A,Input_Raw!$DA:$DA),"")</f>
        <v>0</v>
      </c>
      <c r="AA122" s="123">
        <f t="shared" si="9"/>
        <v>0</v>
      </c>
      <c r="AB122" s="121">
        <f>IFERROR(_xlfn.XLOOKUP($A122,Input_Raw!$A:$A,Input_Raw!$DG:$DG),"")</f>
        <v>0</v>
      </c>
      <c r="AC122" s="141">
        <f>IFERROR(_xlfn.XLOOKUP($D122,'Modelling New'!$D:$D,'Modelling New'!$J:$J),"")</f>
        <v>7.6000000000000005</v>
      </c>
      <c r="AD122" s="123">
        <f>IFERROR(_xlfn.XLOOKUP($D122,'Modelling New'!$D:$D,'Modelling New'!$T:$T)*1000,"")</f>
        <v>585797.81940673687</v>
      </c>
      <c r="AE122" s="140"/>
      <c r="AF122" s="140">
        <f>IFERROR(_xlfn.XLOOKUP($D122,'Modelling New'!$D:$D,'Modelling New'!$W:$W),"")</f>
        <v>0.31292618558052182</v>
      </c>
      <c r="AG122" s="140">
        <f>IFERROR(_xlfn.XLOOKUP($D122,'Modelling New'!$D:$D,'Modelling New'!$AE:$AE),"")</f>
        <v>0.96029999999999993</v>
      </c>
      <c r="AH122" s="140">
        <f>IFERROR(_xlfn.XLOOKUP($D122,'Modelling New'!$D:$D,'Modelling New'!$AF:$AF),"")</f>
        <v>0.995</v>
      </c>
      <c r="AI122" s="121">
        <f>IFERROR(_xlfn.XLOOKUP($A122,Input_Raw!$A:$A,Input_Raw!$DE:$DE),"")</f>
        <v>0</v>
      </c>
      <c r="AJ122" s="121"/>
      <c r="AK122" s="121"/>
      <c r="AL122" s="121"/>
      <c r="AM122" s="121"/>
      <c r="AN122" s="142">
        <f>IFERROR(_xlfn.XLOOKUP($A122,Input_Raw!$A:$A,Input_Raw!$DB:$DB),"")</f>
        <v>0</v>
      </c>
      <c r="AO122" s="140" t="str">
        <f>IFERROR((_xlfn.XLOOKUP($A122,'WTG Reactive Power'!$A:$A,'WTG Reactive Power'!$AR:$AR))/X122/1000,"")</f>
        <v/>
      </c>
      <c r="AP122" s="140">
        <f>IFERROR(_xlfn.XLOOKUP($D122,'Modelling New'!$D:$D,'Modelling New'!$AK:$AK),"")</f>
        <v>0.05</v>
      </c>
      <c r="AQ122" s="140">
        <f>IFERROR(_xlfn.XLOOKUP($D122,'Modelling New'!$D:$D,'Modelling New'!$AL:$AL),"")</f>
        <v>0.05</v>
      </c>
      <c r="AR122">
        <f>IFERROR(_xlfn.XLOOKUP($D122,'Modelling New'!$D:$D,'Modelling New'!$N:$N),"")</f>
        <v>78</v>
      </c>
    </row>
    <row r="123" spans="1:44">
      <c r="A123" s="134">
        <f t="shared" si="11"/>
        <v>45866</v>
      </c>
      <c r="B123" s="123">
        <f>YEAR(Table13[[#This Row],[Date]])+IF(MONTH(Table13[[#This Row],[Date]])&gt;=4,1,0)</f>
        <v>2026</v>
      </c>
      <c r="C123" s="121">
        <f>YEAR(Table13[[#This Row],[Date]])</f>
        <v>2025</v>
      </c>
      <c r="D123" s="135">
        <f>Table13[[#This Row],[Date]]-DAY(Table13[[#This Row],[Date]])+1</f>
        <v>45839</v>
      </c>
      <c r="E123" s="121">
        <f t="shared" si="8"/>
        <v>31</v>
      </c>
      <c r="F123" s="124"/>
      <c r="G123" s="125"/>
      <c r="H123" s="125"/>
      <c r="I123" s="125"/>
      <c r="J123" s="125"/>
      <c r="K123" s="136"/>
      <c r="L123" s="125"/>
      <c r="M123" s="125" t="str">
        <f>IFERROR(_xlfn.XLOOKUP($A123,Input_Raw!$A:$A,Input_Raw!CG:CG),"")</f>
        <v/>
      </c>
      <c r="N123" s="125">
        <f>IFERROR(_xlfn.XLOOKUP($A123,Input_Raw!$A:$A,Input_Raw!CH:CH),"")</f>
        <v>0</v>
      </c>
      <c r="O123" s="137" t="str">
        <f t="shared" si="10"/>
        <v/>
      </c>
      <c r="P123" s="137" t="str">
        <f>IFERROR(1-SUMIF(WTG_BD!$F:$F,$A123,WTG_BD!$AA:$AA)/($AA123+SUMIF(WTG_BD!$F:$F,$A123,WTG_BD!$AA:$AA)),"")</f>
        <v/>
      </c>
      <c r="Q123" s="138" t="str">
        <f>IFERROR(1-SUMIF(IGA_BD!$F:$F,$A123,IGA_BD!$V:$V)/($AA123+SUMIF(IGA_BD!$F:$F,$A123,IGA_BD!$V:$V)),"")</f>
        <v/>
      </c>
      <c r="R123" s="143" t="str">
        <f>IFERROR(1-SUMIF(Grid_BD!$F:$F,$A123,Grid_BD!$X:$X)/($AA123+SUMIF(Grid_BD!$F:$F,$A123,Grid_BD!$X:$X)),"")</f>
        <v/>
      </c>
      <c r="S123" s="121"/>
      <c r="T123" s="138"/>
      <c r="U123" s="139"/>
      <c r="V123" s="121"/>
      <c r="W123" s="140">
        <f>IFERROR(Table13[[#This Row],[Mtr_Net_Exp (KWh)]]/(24*AR123*1000),"")</f>
        <v>0</v>
      </c>
      <c r="X123" s="121">
        <f>IFERROR(_xlfn.XLOOKUP($A123,Input_Raw!$A:$A,Input_Raw!$CF:$CF),"")</f>
        <v>0</v>
      </c>
      <c r="Y123" s="121">
        <f>IFERROR(_xlfn.XLOOKUP($A123,Input_Raw!$A:$A,Input_Raw!$CZ:$CZ),"")</f>
        <v>0</v>
      </c>
      <c r="Z123" s="121">
        <f>IFERROR(_xlfn.XLOOKUP($A123,Input_Raw!$A:$A,Input_Raw!$DA:$DA),"")</f>
        <v>0</v>
      </c>
      <c r="AA123" s="123">
        <f t="shared" si="9"/>
        <v>0</v>
      </c>
      <c r="AB123" s="121">
        <f>IFERROR(_xlfn.XLOOKUP($A123,Input_Raw!$A:$A,Input_Raw!$DG:$DG),"")</f>
        <v>0</v>
      </c>
      <c r="AC123" s="141">
        <f>IFERROR(_xlfn.XLOOKUP($D123,'Modelling New'!$D:$D,'Modelling New'!$J:$J),"")</f>
        <v>7.6000000000000005</v>
      </c>
      <c r="AD123" s="123">
        <f>IFERROR(_xlfn.XLOOKUP($D123,'Modelling New'!$D:$D,'Modelling New'!$T:$T)*1000,"")</f>
        <v>585797.81940673687</v>
      </c>
      <c r="AE123" s="140"/>
      <c r="AF123" s="140">
        <f>IFERROR(_xlfn.XLOOKUP($D123,'Modelling New'!$D:$D,'Modelling New'!$W:$W),"")</f>
        <v>0.31292618558052182</v>
      </c>
      <c r="AG123" s="140">
        <f>IFERROR(_xlfn.XLOOKUP($D123,'Modelling New'!$D:$D,'Modelling New'!$AE:$AE),"")</f>
        <v>0.96029999999999993</v>
      </c>
      <c r="AH123" s="140">
        <f>IFERROR(_xlfn.XLOOKUP($D123,'Modelling New'!$D:$D,'Modelling New'!$AF:$AF),"")</f>
        <v>0.995</v>
      </c>
      <c r="AI123" s="121">
        <f>IFERROR(_xlfn.XLOOKUP($A123,Input_Raw!$A:$A,Input_Raw!$DE:$DE),"")</f>
        <v>0</v>
      </c>
      <c r="AJ123" s="121"/>
      <c r="AK123" s="121"/>
      <c r="AL123" s="121"/>
      <c r="AM123" s="121"/>
      <c r="AN123" s="142">
        <f>IFERROR(_xlfn.XLOOKUP($A123,Input_Raw!$A:$A,Input_Raw!$DB:$DB),"")</f>
        <v>0</v>
      </c>
      <c r="AO123" s="140" t="str">
        <f>IFERROR((_xlfn.XLOOKUP($A123,'WTG Reactive Power'!$A:$A,'WTG Reactive Power'!$AR:$AR))/X123/1000,"")</f>
        <v/>
      </c>
      <c r="AP123" s="140">
        <f>IFERROR(_xlfn.XLOOKUP($D123,'Modelling New'!$D:$D,'Modelling New'!$AK:$AK),"")</f>
        <v>0.05</v>
      </c>
      <c r="AQ123" s="140">
        <f>IFERROR(_xlfn.XLOOKUP($D123,'Modelling New'!$D:$D,'Modelling New'!$AL:$AL),"")</f>
        <v>0.05</v>
      </c>
      <c r="AR123">
        <f>IFERROR(_xlfn.XLOOKUP($D123,'Modelling New'!$D:$D,'Modelling New'!$N:$N),"")</f>
        <v>78</v>
      </c>
    </row>
    <row r="124" spans="1:44">
      <c r="A124" s="134">
        <f t="shared" si="11"/>
        <v>45867</v>
      </c>
      <c r="B124" s="123">
        <f>YEAR(Table13[[#This Row],[Date]])+IF(MONTH(Table13[[#This Row],[Date]])&gt;=4,1,0)</f>
        <v>2026</v>
      </c>
      <c r="C124" s="121">
        <f>YEAR(Table13[[#This Row],[Date]])</f>
        <v>2025</v>
      </c>
      <c r="D124" s="135">
        <f>Table13[[#This Row],[Date]]-DAY(Table13[[#This Row],[Date]])+1</f>
        <v>45839</v>
      </c>
      <c r="E124" s="121">
        <f t="shared" si="8"/>
        <v>31</v>
      </c>
      <c r="F124" s="124"/>
      <c r="G124" s="125"/>
      <c r="H124" s="125"/>
      <c r="I124" s="125"/>
      <c r="J124" s="125"/>
      <c r="K124" s="136"/>
      <c r="L124" s="125"/>
      <c r="M124" s="125" t="str">
        <f>IFERROR(_xlfn.XLOOKUP($A124,Input_Raw!$A:$A,Input_Raw!CG:CG),"")</f>
        <v/>
      </c>
      <c r="N124" s="125">
        <f>IFERROR(_xlfn.XLOOKUP($A124,Input_Raw!$A:$A,Input_Raw!CH:CH),"")</f>
        <v>0</v>
      </c>
      <c r="O124" s="137" t="str">
        <f t="shared" si="10"/>
        <v/>
      </c>
      <c r="P124" s="137" t="str">
        <f>IFERROR(1-SUMIF(WTG_BD!$F:$F,$A124,WTG_BD!$AA:$AA)/($AA124+SUMIF(WTG_BD!$F:$F,$A124,WTG_BD!$AA:$AA)),"")</f>
        <v/>
      </c>
      <c r="Q124" s="138" t="str">
        <f>IFERROR(1-SUMIF(IGA_BD!$F:$F,$A124,IGA_BD!$V:$V)/($AA124+SUMIF(IGA_BD!$F:$F,$A124,IGA_BD!$V:$V)),"")</f>
        <v/>
      </c>
      <c r="R124" s="143" t="str">
        <f>IFERROR(1-SUMIF(Grid_BD!$F:$F,$A124,Grid_BD!$X:$X)/($AA124+SUMIF(Grid_BD!$F:$F,$A124,Grid_BD!$X:$X)),"")</f>
        <v/>
      </c>
      <c r="S124" s="121"/>
      <c r="T124" s="138"/>
      <c r="U124" s="139"/>
      <c r="V124" s="121"/>
      <c r="W124" s="140">
        <f>IFERROR(Table13[[#This Row],[Mtr_Net_Exp (KWh)]]/(24*AR124*1000),"")</f>
        <v>0</v>
      </c>
      <c r="X124" s="121">
        <f>IFERROR(_xlfn.XLOOKUP($A124,Input_Raw!$A:$A,Input_Raw!$CF:$CF),"")</f>
        <v>0</v>
      </c>
      <c r="Y124" s="121">
        <f>IFERROR(_xlfn.XLOOKUP($A124,Input_Raw!$A:$A,Input_Raw!$CZ:$CZ),"")</f>
        <v>0</v>
      </c>
      <c r="Z124" s="121">
        <f>IFERROR(_xlfn.XLOOKUP($A124,Input_Raw!$A:$A,Input_Raw!$DA:$DA),"")</f>
        <v>0</v>
      </c>
      <c r="AA124" s="123">
        <f t="shared" si="9"/>
        <v>0</v>
      </c>
      <c r="AB124" s="121">
        <f>IFERROR(_xlfn.XLOOKUP($A124,Input_Raw!$A:$A,Input_Raw!$DG:$DG),"")</f>
        <v>0</v>
      </c>
      <c r="AC124" s="141">
        <f>IFERROR(_xlfn.XLOOKUP($D124,'Modelling New'!$D:$D,'Modelling New'!$J:$J),"")</f>
        <v>7.6000000000000005</v>
      </c>
      <c r="AD124" s="123">
        <f>IFERROR(_xlfn.XLOOKUP($D124,'Modelling New'!$D:$D,'Modelling New'!$T:$T)*1000,"")</f>
        <v>585797.81940673687</v>
      </c>
      <c r="AE124" s="140"/>
      <c r="AF124" s="140">
        <f>IFERROR(_xlfn.XLOOKUP($D124,'Modelling New'!$D:$D,'Modelling New'!$W:$W),"")</f>
        <v>0.31292618558052182</v>
      </c>
      <c r="AG124" s="140">
        <f>IFERROR(_xlfn.XLOOKUP($D124,'Modelling New'!$D:$D,'Modelling New'!$AE:$AE),"")</f>
        <v>0.96029999999999993</v>
      </c>
      <c r="AH124" s="140">
        <f>IFERROR(_xlfn.XLOOKUP($D124,'Modelling New'!$D:$D,'Modelling New'!$AF:$AF),"")</f>
        <v>0.995</v>
      </c>
      <c r="AI124" s="121">
        <f>IFERROR(_xlfn.XLOOKUP($A124,Input_Raw!$A:$A,Input_Raw!$DE:$DE),"")</f>
        <v>0</v>
      </c>
      <c r="AJ124" s="121"/>
      <c r="AK124" s="121"/>
      <c r="AL124" s="121"/>
      <c r="AM124" s="121"/>
      <c r="AN124" s="142">
        <f>IFERROR(_xlfn.XLOOKUP($A124,Input_Raw!$A:$A,Input_Raw!$DB:$DB),"")</f>
        <v>0</v>
      </c>
      <c r="AO124" s="140" t="str">
        <f>IFERROR((_xlfn.XLOOKUP($A124,'WTG Reactive Power'!$A:$A,'WTG Reactive Power'!$AR:$AR))/X124/1000,"")</f>
        <v/>
      </c>
      <c r="AP124" s="140">
        <f>IFERROR(_xlfn.XLOOKUP($D124,'Modelling New'!$D:$D,'Modelling New'!$AK:$AK),"")</f>
        <v>0.05</v>
      </c>
      <c r="AQ124" s="140">
        <f>IFERROR(_xlfn.XLOOKUP($D124,'Modelling New'!$D:$D,'Modelling New'!$AL:$AL),"")</f>
        <v>0.05</v>
      </c>
      <c r="AR124">
        <f>IFERROR(_xlfn.XLOOKUP($D124,'Modelling New'!$D:$D,'Modelling New'!$N:$N),"")</f>
        <v>78</v>
      </c>
    </row>
    <row r="125" spans="1:44">
      <c r="A125" s="134">
        <f t="shared" si="11"/>
        <v>45868</v>
      </c>
      <c r="B125" s="123">
        <f>YEAR(Table13[[#This Row],[Date]])+IF(MONTH(Table13[[#This Row],[Date]])&gt;=4,1,0)</f>
        <v>2026</v>
      </c>
      <c r="C125" s="121">
        <f>YEAR(Table13[[#This Row],[Date]])</f>
        <v>2025</v>
      </c>
      <c r="D125" s="135">
        <f>Table13[[#This Row],[Date]]-DAY(Table13[[#This Row],[Date]])+1</f>
        <v>45839</v>
      </c>
      <c r="E125" s="121">
        <f t="shared" si="8"/>
        <v>31</v>
      </c>
      <c r="F125" s="124"/>
      <c r="G125" s="125"/>
      <c r="H125" s="125"/>
      <c r="I125" s="125"/>
      <c r="J125" s="125"/>
      <c r="K125" s="136"/>
      <c r="L125" s="125"/>
      <c r="M125" s="125" t="str">
        <f>IFERROR(_xlfn.XLOOKUP($A125,Input_Raw!$A:$A,Input_Raw!CG:CG),"")</f>
        <v/>
      </c>
      <c r="N125" s="125">
        <f>IFERROR(_xlfn.XLOOKUP($A125,Input_Raw!$A:$A,Input_Raw!CH:CH),"")</f>
        <v>0</v>
      </c>
      <c r="O125" s="137" t="str">
        <f t="shared" si="10"/>
        <v/>
      </c>
      <c r="P125" s="137" t="str">
        <f>IFERROR(1-SUMIF(WTG_BD!$F:$F,$A125,WTG_BD!$AA:$AA)/($AA125+SUMIF(WTG_BD!$F:$F,$A125,WTG_BD!$AA:$AA)),"")</f>
        <v/>
      </c>
      <c r="Q125" s="138" t="str">
        <f>IFERROR(1-SUMIF(IGA_BD!$F:$F,$A125,IGA_BD!$V:$V)/($AA125+SUMIF(IGA_BD!$F:$F,$A125,IGA_BD!$V:$V)),"")</f>
        <v/>
      </c>
      <c r="R125" s="143" t="str">
        <f>IFERROR(1-SUMIF(Grid_BD!$F:$F,$A125,Grid_BD!$X:$X)/($AA125+SUMIF(Grid_BD!$F:$F,$A125,Grid_BD!$X:$X)),"")</f>
        <v/>
      </c>
      <c r="S125" s="121"/>
      <c r="T125" s="138"/>
      <c r="U125" s="139"/>
      <c r="V125" s="121"/>
      <c r="W125" s="140">
        <f>IFERROR(Table13[[#This Row],[Mtr_Net_Exp (KWh)]]/(24*AR125*1000),"")</f>
        <v>0</v>
      </c>
      <c r="X125" s="121">
        <f>IFERROR(_xlfn.XLOOKUP($A125,Input_Raw!$A:$A,Input_Raw!$CF:$CF),"")</f>
        <v>0</v>
      </c>
      <c r="Y125" s="121">
        <f>IFERROR(_xlfn.XLOOKUP($A125,Input_Raw!$A:$A,Input_Raw!$CZ:$CZ),"")</f>
        <v>0</v>
      </c>
      <c r="Z125" s="121">
        <f>IFERROR(_xlfn.XLOOKUP($A125,Input_Raw!$A:$A,Input_Raw!$DA:$DA),"")</f>
        <v>0</v>
      </c>
      <c r="AA125" s="123">
        <f t="shared" si="9"/>
        <v>0</v>
      </c>
      <c r="AB125" s="121">
        <f>IFERROR(_xlfn.XLOOKUP($A125,Input_Raw!$A:$A,Input_Raw!$DG:$DG),"")</f>
        <v>0</v>
      </c>
      <c r="AC125" s="141">
        <f>IFERROR(_xlfn.XLOOKUP($D125,'Modelling New'!$D:$D,'Modelling New'!$J:$J),"")</f>
        <v>7.6000000000000005</v>
      </c>
      <c r="AD125" s="123">
        <f>IFERROR(_xlfn.XLOOKUP($D125,'Modelling New'!$D:$D,'Modelling New'!$T:$T)*1000,"")</f>
        <v>585797.81940673687</v>
      </c>
      <c r="AE125" s="140"/>
      <c r="AF125" s="140">
        <f>IFERROR(_xlfn.XLOOKUP($D125,'Modelling New'!$D:$D,'Modelling New'!$W:$W),"")</f>
        <v>0.31292618558052182</v>
      </c>
      <c r="AG125" s="140">
        <f>IFERROR(_xlfn.XLOOKUP($D125,'Modelling New'!$D:$D,'Modelling New'!$AE:$AE),"")</f>
        <v>0.96029999999999993</v>
      </c>
      <c r="AH125" s="140">
        <f>IFERROR(_xlfn.XLOOKUP($D125,'Modelling New'!$D:$D,'Modelling New'!$AF:$AF),"")</f>
        <v>0.995</v>
      </c>
      <c r="AI125" s="121">
        <f>IFERROR(_xlfn.XLOOKUP($A125,Input_Raw!$A:$A,Input_Raw!$DE:$DE),"")</f>
        <v>0</v>
      </c>
      <c r="AJ125" s="121"/>
      <c r="AK125" s="121"/>
      <c r="AL125" s="121"/>
      <c r="AM125" s="121"/>
      <c r="AN125" s="142">
        <f>IFERROR(_xlfn.XLOOKUP($A125,Input_Raw!$A:$A,Input_Raw!$DB:$DB),"")</f>
        <v>0</v>
      </c>
      <c r="AO125" s="140" t="str">
        <f>IFERROR((_xlfn.XLOOKUP($A125,'WTG Reactive Power'!$A:$A,'WTG Reactive Power'!$AR:$AR))/X125/1000,"")</f>
        <v/>
      </c>
      <c r="AP125" s="140">
        <f>IFERROR(_xlfn.XLOOKUP($D125,'Modelling New'!$D:$D,'Modelling New'!$AK:$AK),"")</f>
        <v>0.05</v>
      </c>
      <c r="AQ125" s="140">
        <f>IFERROR(_xlfn.XLOOKUP($D125,'Modelling New'!$D:$D,'Modelling New'!$AL:$AL),"")</f>
        <v>0.05</v>
      </c>
      <c r="AR125">
        <f>IFERROR(_xlfn.XLOOKUP($D125,'Modelling New'!$D:$D,'Modelling New'!$N:$N),"")</f>
        <v>78</v>
      </c>
    </row>
    <row r="126" spans="1:44">
      <c r="A126" s="134">
        <f t="shared" si="11"/>
        <v>45869</v>
      </c>
      <c r="B126" s="123">
        <f>YEAR(Table13[[#This Row],[Date]])+IF(MONTH(Table13[[#This Row],[Date]])&gt;=4,1,0)</f>
        <v>2026</v>
      </c>
      <c r="C126" s="121">
        <f>YEAR(Table13[[#This Row],[Date]])</f>
        <v>2025</v>
      </c>
      <c r="D126" s="135">
        <f>Table13[[#This Row],[Date]]-DAY(Table13[[#This Row],[Date]])+1</f>
        <v>45839</v>
      </c>
      <c r="E126" s="121">
        <f t="shared" si="8"/>
        <v>31</v>
      </c>
      <c r="F126" s="124"/>
      <c r="G126" s="125"/>
      <c r="H126" s="125"/>
      <c r="I126" s="125"/>
      <c r="J126" s="125"/>
      <c r="K126" s="136"/>
      <c r="L126" s="125"/>
      <c r="M126" s="125" t="str">
        <f>IFERROR(_xlfn.XLOOKUP($A126,Input_Raw!$A:$A,Input_Raw!CG:CG),"")</f>
        <v/>
      </c>
      <c r="N126" s="125">
        <f>IFERROR(_xlfn.XLOOKUP($A126,Input_Raw!$A:$A,Input_Raw!CH:CH),"")</f>
        <v>0</v>
      </c>
      <c r="O126" s="137" t="str">
        <f t="shared" si="10"/>
        <v/>
      </c>
      <c r="P126" s="137" t="str">
        <f>IFERROR(1-SUMIF(WTG_BD!$F:$F,$A126,WTG_BD!$AA:$AA)/($AA126+SUMIF(WTG_BD!$F:$F,$A126,WTG_BD!$AA:$AA)),"")</f>
        <v/>
      </c>
      <c r="Q126" s="138" t="str">
        <f>IFERROR(1-SUMIF(IGA_BD!$F:$F,$A126,IGA_BD!$V:$V)/($AA126+SUMIF(IGA_BD!$F:$F,$A126,IGA_BD!$V:$V)),"")</f>
        <v/>
      </c>
      <c r="R126" s="143" t="str">
        <f>IFERROR(1-SUMIF(Grid_BD!$F:$F,$A126,Grid_BD!$X:$X)/($AA126+SUMIF(Grid_BD!$F:$F,$A126,Grid_BD!$X:$X)),"")</f>
        <v/>
      </c>
      <c r="S126" s="121"/>
      <c r="T126" s="138"/>
      <c r="U126" s="139"/>
      <c r="V126" s="121"/>
      <c r="W126" s="140">
        <f>IFERROR(Table13[[#This Row],[Mtr_Net_Exp (KWh)]]/(24*AR126*1000),"")</f>
        <v>0</v>
      </c>
      <c r="X126" s="121">
        <f>IFERROR(_xlfn.XLOOKUP($A126,Input_Raw!$A:$A,Input_Raw!$CF:$CF),"")</f>
        <v>0</v>
      </c>
      <c r="Y126" s="121">
        <f>IFERROR(_xlfn.XLOOKUP($A126,Input_Raw!$A:$A,Input_Raw!$CZ:$CZ),"")</f>
        <v>0</v>
      </c>
      <c r="Z126" s="121">
        <f>IFERROR(_xlfn.XLOOKUP($A126,Input_Raw!$A:$A,Input_Raw!$DA:$DA),"")</f>
        <v>0</v>
      </c>
      <c r="AA126" s="123">
        <f t="shared" si="9"/>
        <v>0</v>
      </c>
      <c r="AB126" s="121">
        <f>IFERROR(_xlfn.XLOOKUP($A126,Input_Raw!$A:$A,Input_Raw!$DG:$DG),"")</f>
        <v>0</v>
      </c>
      <c r="AC126" s="141">
        <f>IFERROR(_xlfn.XLOOKUP($D126,'Modelling New'!$D:$D,'Modelling New'!$J:$J),"")</f>
        <v>7.6000000000000005</v>
      </c>
      <c r="AD126" s="123">
        <f>IFERROR(_xlfn.XLOOKUP($D126,'Modelling New'!$D:$D,'Modelling New'!$T:$T)*1000,"")</f>
        <v>585797.81940673687</v>
      </c>
      <c r="AE126" s="140"/>
      <c r="AF126" s="140">
        <f>IFERROR(_xlfn.XLOOKUP($D126,'Modelling New'!$D:$D,'Modelling New'!$W:$W),"")</f>
        <v>0.31292618558052182</v>
      </c>
      <c r="AG126" s="140">
        <f>IFERROR(_xlfn.XLOOKUP($D126,'Modelling New'!$D:$D,'Modelling New'!$AE:$AE),"")</f>
        <v>0.96029999999999993</v>
      </c>
      <c r="AH126" s="140">
        <f>IFERROR(_xlfn.XLOOKUP($D126,'Modelling New'!$D:$D,'Modelling New'!$AF:$AF),"")</f>
        <v>0.995</v>
      </c>
      <c r="AI126" s="121">
        <f>IFERROR(_xlfn.XLOOKUP($A126,Input_Raw!$A:$A,Input_Raw!$DE:$DE),"")</f>
        <v>0</v>
      </c>
      <c r="AJ126" s="121"/>
      <c r="AK126" s="121"/>
      <c r="AL126" s="121"/>
      <c r="AM126" s="121"/>
      <c r="AN126" s="142">
        <f>IFERROR(_xlfn.XLOOKUP($A126,Input_Raw!$A:$A,Input_Raw!$DB:$DB),"")</f>
        <v>0</v>
      </c>
      <c r="AO126" s="140" t="str">
        <f>IFERROR((_xlfn.XLOOKUP($A126,'WTG Reactive Power'!$A:$A,'WTG Reactive Power'!$AR:$AR))/X126/1000,"")</f>
        <v/>
      </c>
      <c r="AP126" s="140">
        <f>IFERROR(_xlfn.XLOOKUP($D126,'Modelling New'!$D:$D,'Modelling New'!$AK:$AK),"")</f>
        <v>0.05</v>
      </c>
      <c r="AQ126" s="140">
        <f>IFERROR(_xlfn.XLOOKUP($D126,'Modelling New'!$D:$D,'Modelling New'!$AL:$AL),"")</f>
        <v>0.05</v>
      </c>
      <c r="AR126">
        <f>IFERROR(_xlfn.XLOOKUP($D126,'Modelling New'!$D:$D,'Modelling New'!$N:$N),"")</f>
        <v>78</v>
      </c>
    </row>
    <row r="127" spans="1:44">
      <c r="A127" s="134">
        <f t="shared" si="11"/>
        <v>45870</v>
      </c>
      <c r="B127" s="123">
        <f>YEAR(Table13[[#This Row],[Date]])+IF(MONTH(Table13[[#This Row],[Date]])&gt;=4,1,0)</f>
        <v>2026</v>
      </c>
      <c r="C127" s="121">
        <f>YEAR(Table13[[#This Row],[Date]])</f>
        <v>2025</v>
      </c>
      <c r="D127" s="135">
        <f>Table13[[#This Row],[Date]]-DAY(Table13[[#This Row],[Date]])+1</f>
        <v>45870</v>
      </c>
      <c r="E127" s="121">
        <f t="shared" si="8"/>
        <v>31</v>
      </c>
      <c r="F127" s="124"/>
      <c r="G127" s="125"/>
      <c r="H127" s="125"/>
      <c r="I127" s="125"/>
      <c r="J127" s="125"/>
      <c r="K127" s="136"/>
      <c r="L127" s="125"/>
      <c r="M127" s="125" t="str">
        <f>IFERROR(_xlfn.XLOOKUP($A127,Input_Raw!$A:$A,Input_Raw!CG:CG),"")</f>
        <v/>
      </c>
      <c r="N127" s="125">
        <f>IFERROR(_xlfn.XLOOKUP($A127,Input_Raw!$A:$A,Input_Raw!CH:CH),"")</f>
        <v>0</v>
      </c>
      <c r="O127" s="137" t="str">
        <f t="shared" si="10"/>
        <v/>
      </c>
      <c r="P127" s="137" t="str">
        <f>IFERROR(1-SUMIF(WTG_BD!$F:$F,$A127,WTG_BD!$AA:$AA)/($AA127+SUMIF(WTG_BD!$F:$F,$A127,WTG_BD!$AA:$AA)),"")</f>
        <v/>
      </c>
      <c r="Q127" s="138" t="str">
        <f>IFERROR(1-SUMIF(IGA_BD!$F:$F,$A127,IGA_BD!$V:$V)/($AA127+SUMIF(IGA_BD!$F:$F,$A127,IGA_BD!$V:$V)),"")</f>
        <v/>
      </c>
      <c r="R127" s="143" t="str">
        <f>IFERROR(1-SUMIF(Grid_BD!$F:$F,$A127,Grid_BD!$X:$X)/($AA127+SUMIF(Grid_BD!$F:$F,$A127,Grid_BD!$X:$X)),"")</f>
        <v/>
      </c>
      <c r="S127" s="121"/>
      <c r="T127" s="138"/>
      <c r="U127" s="139"/>
      <c r="V127" s="121"/>
      <c r="W127" s="140">
        <f>IFERROR(Table13[[#This Row],[Mtr_Net_Exp (KWh)]]/(24*AR127*1000),"")</f>
        <v>0</v>
      </c>
      <c r="X127" s="121">
        <f>IFERROR(_xlfn.XLOOKUP($A127,Input_Raw!$A:$A,Input_Raw!$CF:$CF),"")</f>
        <v>0</v>
      </c>
      <c r="Y127" s="121">
        <f>IFERROR(_xlfn.XLOOKUP($A127,Input_Raw!$A:$A,Input_Raw!$CZ:$CZ),"")</f>
        <v>0</v>
      </c>
      <c r="Z127" s="121">
        <f>IFERROR(_xlfn.XLOOKUP($A127,Input_Raw!$A:$A,Input_Raw!$DA:$DA),"")</f>
        <v>0</v>
      </c>
      <c r="AA127" s="123">
        <f t="shared" si="9"/>
        <v>0</v>
      </c>
      <c r="AB127" s="121">
        <f>IFERROR(_xlfn.XLOOKUP($A127,Input_Raw!$A:$A,Input_Raw!$DG:$DG),"")</f>
        <v>0</v>
      </c>
      <c r="AC127" s="141">
        <f>IFERROR(_xlfn.XLOOKUP($D127,'Modelling New'!$D:$D,'Modelling New'!$J:$J),"")</f>
        <v>6.8666666666666671</v>
      </c>
      <c r="AD127" s="123">
        <f>IFERROR(_xlfn.XLOOKUP($D127,'Modelling New'!$D:$D,'Modelling New'!$T:$T)*1000,"")</f>
        <v>616013.63346204848</v>
      </c>
      <c r="AE127" s="140"/>
      <c r="AF127" s="140">
        <f>IFERROR(_xlfn.XLOOKUP($D127,'Modelling New'!$D:$D,'Modelling New'!$W:$W),"")</f>
        <v>0.3290671118921199</v>
      </c>
      <c r="AG127" s="140">
        <f>IFERROR(_xlfn.XLOOKUP($D127,'Modelling New'!$D:$D,'Modelling New'!$AE:$AE),"")</f>
        <v>0.96029999999999993</v>
      </c>
      <c r="AH127" s="140">
        <f>IFERROR(_xlfn.XLOOKUP($D127,'Modelling New'!$D:$D,'Modelling New'!$AF:$AF),"")</f>
        <v>0.995</v>
      </c>
      <c r="AI127" s="121">
        <f>IFERROR(_xlfn.XLOOKUP($A127,Input_Raw!$A:$A,Input_Raw!$DE:$DE),"")</f>
        <v>0</v>
      </c>
      <c r="AJ127" s="121"/>
      <c r="AK127" s="121"/>
      <c r="AL127" s="121"/>
      <c r="AM127" s="121"/>
      <c r="AN127" s="142">
        <f>IFERROR(_xlfn.XLOOKUP($A127,Input_Raw!$A:$A,Input_Raw!$DB:$DB),"")</f>
        <v>0</v>
      </c>
      <c r="AO127" s="140" t="str">
        <f>IFERROR((_xlfn.XLOOKUP($A127,'WTG Reactive Power'!$A:$A,'WTG Reactive Power'!$AR:$AR))/X127/1000,"")</f>
        <v/>
      </c>
      <c r="AP127" s="140">
        <f>IFERROR(_xlfn.XLOOKUP($D127,'Modelling New'!$D:$D,'Modelling New'!$AK:$AK),"")</f>
        <v>0.05</v>
      </c>
      <c r="AQ127" s="140">
        <f>IFERROR(_xlfn.XLOOKUP($D127,'Modelling New'!$D:$D,'Modelling New'!$AL:$AL),"")</f>
        <v>0.05</v>
      </c>
      <c r="AR127">
        <f>IFERROR(_xlfn.XLOOKUP($D127,'Modelling New'!$D:$D,'Modelling New'!$N:$N),"")</f>
        <v>78</v>
      </c>
    </row>
    <row r="128" spans="1:44">
      <c r="A128" s="134">
        <f t="shared" si="11"/>
        <v>45871</v>
      </c>
      <c r="B128" s="123">
        <f>YEAR(Table13[[#This Row],[Date]])+IF(MONTH(Table13[[#This Row],[Date]])&gt;=4,1,0)</f>
        <v>2026</v>
      </c>
      <c r="C128" s="121">
        <f>YEAR(Table13[[#This Row],[Date]])</f>
        <v>2025</v>
      </c>
      <c r="D128" s="135">
        <f>Table13[[#This Row],[Date]]-DAY(Table13[[#This Row],[Date]])+1</f>
        <v>45870</v>
      </c>
      <c r="E128" s="121">
        <f t="shared" si="8"/>
        <v>31</v>
      </c>
      <c r="F128" s="124"/>
      <c r="G128" s="125"/>
      <c r="H128" s="125"/>
      <c r="I128" s="125"/>
      <c r="J128" s="125"/>
      <c r="K128" s="136"/>
      <c r="L128" s="125"/>
      <c r="M128" s="125" t="str">
        <f>IFERROR(_xlfn.XLOOKUP($A128,Input_Raw!$A:$A,Input_Raw!CG:CG),"")</f>
        <v/>
      </c>
      <c r="N128" s="125">
        <f>IFERROR(_xlfn.XLOOKUP($A128,Input_Raw!$A:$A,Input_Raw!CH:CH),"")</f>
        <v>0</v>
      </c>
      <c r="O128" s="137" t="str">
        <f t="shared" si="10"/>
        <v/>
      </c>
      <c r="P128" s="137" t="str">
        <f>IFERROR(1-SUMIF(WTG_BD!$F:$F,$A128,WTG_BD!$AA:$AA)/($AA128+SUMIF(WTG_BD!$F:$F,$A128,WTG_BD!$AA:$AA)),"")</f>
        <v/>
      </c>
      <c r="Q128" s="138" t="str">
        <f>IFERROR(1-SUMIF(IGA_BD!$F:$F,$A128,IGA_BD!$V:$V)/($AA128+SUMIF(IGA_BD!$F:$F,$A128,IGA_BD!$V:$V)),"")</f>
        <v/>
      </c>
      <c r="R128" s="143" t="str">
        <f>IFERROR(1-SUMIF(Grid_BD!$F:$F,$A128,Grid_BD!$X:$X)/($AA128+SUMIF(Grid_BD!$F:$F,$A128,Grid_BD!$X:$X)),"")</f>
        <v/>
      </c>
      <c r="S128" s="121"/>
      <c r="T128" s="138"/>
      <c r="U128" s="139"/>
      <c r="V128" s="121"/>
      <c r="W128" s="140">
        <f>IFERROR(Table13[[#This Row],[Mtr_Net_Exp (KWh)]]/(24*AR128*1000),"")</f>
        <v>0</v>
      </c>
      <c r="X128" s="121">
        <f>IFERROR(_xlfn.XLOOKUP($A128,Input_Raw!$A:$A,Input_Raw!$CF:$CF),"")</f>
        <v>0</v>
      </c>
      <c r="Y128" s="121">
        <f>IFERROR(_xlfn.XLOOKUP($A128,Input_Raw!$A:$A,Input_Raw!$CZ:$CZ),"")</f>
        <v>0</v>
      </c>
      <c r="Z128" s="121">
        <f>IFERROR(_xlfn.XLOOKUP($A128,Input_Raw!$A:$A,Input_Raw!$DA:$DA),"")</f>
        <v>0</v>
      </c>
      <c r="AA128" s="123">
        <f t="shared" si="9"/>
        <v>0</v>
      </c>
      <c r="AB128" s="121">
        <f>IFERROR(_xlfn.XLOOKUP($A128,Input_Raw!$A:$A,Input_Raw!$DG:$DG),"")</f>
        <v>0</v>
      </c>
      <c r="AC128" s="141">
        <f>IFERROR(_xlfn.XLOOKUP($D128,'Modelling New'!$D:$D,'Modelling New'!$J:$J),"")</f>
        <v>6.8666666666666671</v>
      </c>
      <c r="AD128" s="123">
        <f>IFERROR(_xlfn.XLOOKUP($D128,'Modelling New'!$D:$D,'Modelling New'!$T:$T)*1000,"")</f>
        <v>616013.63346204848</v>
      </c>
      <c r="AE128" s="140"/>
      <c r="AF128" s="140">
        <f>IFERROR(_xlfn.XLOOKUP($D128,'Modelling New'!$D:$D,'Modelling New'!$W:$W),"")</f>
        <v>0.3290671118921199</v>
      </c>
      <c r="AG128" s="140">
        <f>IFERROR(_xlfn.XLOOKUP($D128,'Modelling New'!$D:$D,'Modelling New'!$AE:$AE),"")</f>
        <v>0.96029999999999993</v>
      </c>
      <c r="AH128" s="140">
        <f>IFERROR(_xlfn.XLOOKUP($D128,'Modelling New'!$D:$D,'Modelling New'!$AF:$AF),"")</f>
        <v>0.995</v>
      </c>
      <c r="AI128" s="121">
        <f>IFERROR(_xlfn.XLOOKUP($A128,Input_Raw!$A:$A,Input_Raw!$DE:$DE),"")</f>
        <v>0</v>
      </c>
      <c r="AJ128" s="121"/>
      <c r="AK128" s="121"/>
      <c r="AL128" s="121"/>
      <c r="AM128" s="121"/>
      <c r="AN128" s="142">
        <f>IFERROR(_xlfn.XLOOKUP($A128,Input_Raw!$A:$A,Input_Raw!$DB:$DB),"")</f>
        <v>0</v>
      </c>
      <c r="AO128" s="140" t="str">
        <f>IFERROR((_xlfn.XLOOKUP($A128,'WTG Reactive Power'!$A:$A,'WTG Reactive Power'!$AR:$AR))/X128/1000,"")</f>
        <v/>
      </c>
      <c r="AP128" s="140">
        <f>IFERROR(_xlfn.XLOOKUP($D128,'Modelling New'!$D:$D,'Modelling New'!$AK:$AK),"")</f>
        <v>0.05</v>
      </c>
      <c r="AQ128" s="140">
        <f>IFERROR(_xlfn.XLOOKUP($D128,'Modelling New'!$D:$D,'Modelling New'!$AL:$AL),"")</f>
        <v>0.05</v>
      </c>
      <c r="AR128">
        <f>IFERROR(_xlfn.XLOOKUP($D128,'Modelling New'!$D:$D,'Modelling New'!$N:$N),"")</f>
        <v>78</v>
      </c>
    </row>
    <row r="129" spans="1:44">
      <c r="A129" s="134">
        <f t="shared" si="11"/>
        <v>45872</v>
      </c>
      <c r="B129" s="123">
        <f>YEAR(Table13[[#This Row],[Date]])+IF(MONTH(Table13[[#This Row],[Date]])&gt;=4,1,0)</f>
        <v>2026</v>
      </c>
      <c r="C129" s="121">
        <f>YEAR(Table13[[#This Row],[Date]])</f>
        <v>2025</v>
      </c>
      <c r="D129" s="135">
        <f>Table13[[#This Row],[Date]]-DAY(Table13[[#This Row],[Date]])+1</f>
        <v>45870</v>
      </c>
      <c r="E129" s="121">
        <f t="shared" si="8"/>
        <v>31</v>
      </c>
      <c r="F129" s="124"/>
      <c r="G129" s="125"/>
      <c r="H129" s="125"/>
      <c r="I129" s="125"/>
      <c r="J129" s="125"/>
      <c r="K129" s="136"/>
      <c r="L129" s="125"/>
      <c r="M129" s="125" t="str">
        <f>IFERROR(_xlfn.XLOOKUP($A129,Input_Raw!$A:$A,Input_Raw!CG:CG),"")</f>
        <v/>
      </c>
      <c r="N129" s="125">
        <f>IFERROR(_xlfn.XLOOKUP($A129,Input_Raw!$A:$A,Input_Raw!CH:CH),"")</f>
        <v>0</v>
      </c>
      <c r="O129" s="137" t="str">
        <f t="shared" si="10"/>
        <v/>
      </c>
      <c r="P129" s="137" t="str">
        <f>IFERROR(1-SUMIF(WTG_BD!$F:$F,$A129,WTG_BD!$AA:$AA)/($AA129+SUMIF(WTG_BD!$F:$F,$A129,WTG_BD!$AA:$AA)),"")</f>
        <v/>
      </c>
      <c r="Q129" s="138" t="str">
        <f>IFERROR(1-SUMIF(IGA_BD!$F:$F,$A129,IGA_BD!$V:$V)/($AA129+SUMIF(IGA_BD!$F:$F,$A129,IGA_BD!$V:$V)),"")</f>
        <v/>
      </c>
      <c r="R129" s="143" t="str">
        <f>IFERROR(1-SUMIF(Grid_BD!$F:$F,$A129,Grid_BD!$X:$X)/($AA129+SUMIF(Grid_BD!$F:$F,$A129,Grid_BD!$X:$X)),"")</f>
        <v/>
      </c>
      <c r="S129" s="121"/>
      <c r="T129" s="138"/>
      <c r="U129" s="139"/>
      <c r="V129" s="121"/>
      <c r="W129" s="140">
        <f>IFERROR(Table13[[#This Row],[Mtr_Net_Exp (KWh)]]/(24*AR129*1000),"")</f>
        <v>0</v>
      </c>
      <c r="X129" s="121">
        <f>IFERROR(_xlfn.XLOOKUP($A129,Input_Raw!$A:$A,Input_Raw!$CF:$CF),"")</f>
        <v>0</v>
      </c>
      <c r="Y129" s="121">
        <f>IFERROR(_xlfn.XLOOKUP($A129,Input_Raw!$A:$A,Input_Raw!$CZ:$CZ),"")</f>
        <v>0</v>
      </c>
      <c r="Z129" s="121">
        <f>IFERROR(_xlfn.XLOOKUP($A129,Input_Raw!$A:$A,Input_Raw!$DA:$DA),"")</f>
        <v>0</v>
      </c>
      <c r="AA129" s="123">
        <f t="shared" si="9"/>
        <v>0</v>
      </c>
      <c r="AB129" s="121">
        <f>IFERROR(_xlfn.XLOOKUP($A129,Input_Raw!$A:$A,Input_Raw!$DG:$DG),"")</f>
        <v>0</v>
      </c>
      <c r="AC129" s="141">
        <f>IFERROR(_xlfn.XLOOKUP($D129,'Modelling New'!$D:$D,'Modelling New'!$J:$J),"")</f>
        <v>6.8666666666666671</v>
      </c>
      <c r="AD129" s="123">
        <f>IFERROR(_xlfn.XLOOKUP($D129,'Modelling New'!$D:$D,'Modelling New'!$T:$T)*1000,"")</f>
        <v>616013.63346204848</v>
      </c>
      <c r="AE129" s="140"/>
      <c r="AF129" s="140">
        <f>IFERROR(_xlfn.XLOOKUP($D129,'Modelling New'!$D:$D,'Modelling New'!$W:$W),"")</f>
        <v>0.3290671118921199</v>
      </c>
      <c r="AG129" s="140">
        <f>IFERROR(_xlfn.XLOOKUP($D129,'Modelling New'!$D:$D,'Modelling New'!$AE:$AE),"")</f>
        <v>0.96029999999999993</v>
      </c>
      <c r="AH129" s="140">
        <f>IFERROR(_xlfn.XLOOKUP($D129,'Modelling New'!$D:$D,'Modelling New'!$AF:$AF),"")</f>
        <v>0.995</v>
      </c>
      <c r="AI129" s="121">
        <f>IFERROR(_xlfn.XLOOKUP($A129,Input_Raw!$A:$A,Input_Raw!$DE:$DE),"")</f>
        <v>0</v>
      </c>
      <c r="AJ129" s="121"/>
      <c r="AK129" s="121"/>
      <c r="AL129" s="121"/>
      <c r="AM129" s="121"/>
      <c r="AN129" s="142">
        <f>IFERROR(_xlfn.XLOOKUP($A129,Input_Raw!$A:$A,Input_Raw!$DB:$DB),"")</f>
        <v>0</v>
      </c>
      <c r="AO129" s="140" t="str">
        <f>IFERROR((_xlfn.XLOOKUP($A129,'WTG Reactive Power'!$A:$A,'WTG Reactive Power'!$AR:$AR))/X129/1000,"")</f>
        <v/>
      </c>
      <c r="AP129" s="140">
        <f>IFERROR(_xlfn.XLOOKUP($D129,'Modelling New'!$D:$D,'Modelling New'!$AK:$AK),"")</f>
        <v>0.05</v>
      </c>
      <c r="AQ129" s="140">
        <f>IFERROR(_xlfn.XLOOKUP($D129,'Modelling New'!$D:$D,'Modelling New'!$AL:$AL),"")</f>
        <v>0.05</v>
      </c>
      <c r="AR129">
        <f>IFERROR(_xlfn.XLOOKUP($D129,'Modelling New'!$D:$D,'Modelling New'!$N:$N),"")</f>
        <v>78</v>
      </c>
    </row>
    <row r="130" spans="1:44">
      <c r="A130" s="134">
        <f t="shared" si="11"/>
        <v>45873</v>
      </c>
      <c r="B130" s="123">
        <f>YEAR(Table13[[#This Row],[Date]])+IF(MONTH(Table13[[#This Row],[Date]])&gt;=4,1,0)</f>
        <v>2026</v>
      </c>
      <c r="C130" s="121">
        <f>YEAR(Table13[[#This Row],[Date]])</f>
        <v>2025</v>
      </c>
      <c r="D130" s="135">
        <f>Table13[[#This Row],[Date]]-DAY(Table13[[#This Row],[Date]])+1</f>
        <v>45870</v>
      </c>
      <c r="E130" s="121">
        <f t="shared" si="8"/>
        <v>31</v>
      </c>
      <c r="F130" s="124"/>
      <c r="G130" s="125"/>
      <c r="H130" s="125"/>
      <c r="I130" s="125"/>
      <c r="J130" s="125"/>
      <c r="K130" s="136"/>
      <c r="L130" s="125"/>
      <c r="M130" s="125" t="str">
        <f>IFERROR(_xlfn.XLOOKUP($A130,Input_Raw!$A:$A,Input_Raw!CG:CG),"")</f>
        <v/>
      </c>
      <c r="N130" s="125">
        <f>IFERROR(_xlfn.XLOOKUP($A130,Input_Raw!$A:$A,Input_Raw!CH:CH),"")</f>
        <v>0</v>
      </c>
      <c r="O130" s="137" t="str">
        <f t="shared" si="10"/>
        <v/>
      </c>
      <c r="P130" s="137" t="str">
        <f>IFERROR(1-SUMIF(WTG_BD!$F:$F,$A130,WTG_BD!$AA:$AA)/($AA130+SUMIF(WTG_BD!$F:$F,$A130,WTG_BD!$AA:$AA)),"")</f>
        <v/>
      </c>
      <c r="Q130" s="138" t="str">
        <f>IFERROR(1-SUMIF(IGA_BD!$F:$F,$A130,IGA_BD!$V:$V)/($AA130+SUMIF(IGA_BD!$F:$F,$A130,IGA_BD!$V:$V)),"")</f>
        <v/>
      </c>
      <c r="R130" s="143" t="str">
        <f>IFERROR(1-SUMIF(Grid_BD!$F:$F,$A130,Grid_BD!$X:$X)/($AA130+SUMIF(Grid_BD!$F:$F,$A130,Grid_BD!$X:$X)),"")</f>
        <v/>
      </c>
      <c r="S130" s="121"/>
      <c r="T130" s="138"/>
      <c r="U130" s="139"/>
      <c r="V130" s="121"/>
      <c r="W130" s="140">
        <f>IFERROR(Table13[[#This Row],[Mtr_Net_Exp (KWh)]]/(24*AR130*1000),"")</f>
        <v>0</v>
      </c>
      <c r="X130" s="121">
        <f>IFERROR(_xlfn.XLOOKUP($A130,Input_Raw!$A:$A,Input_Raw!$CF:$CF),"")</f>
        <v>0</v>
      </c>
      <c r="Y130" s="121">
        <f>IFERROR(_xlfn.XLOOKUP($A130,Input_Raw!$A:$A,Input_Raw!$CZ:$CZ),"")</f>
        <v>0</v>
      </c>
      <c r="Z130" s="121">
        <f>IFERROR(_xlfn.XLOOKUP($A130,Input_Raw!$A:$A,Input_Raw!$DA:$DA),"")</f>
        <v>0</v>
      </c>
      <c r="AA130" s="123">
        <f t="shared" si="9"/>
        <v>0</v>
      </c>
      <c r="AB130" s="121">
        <f>IFERROR(_xlfn.XLOOKUP($A130,Input_Raw!$A:$A,Input_Raw!$DG:$DG),"")</f>
        <v>0</v>
      </c>
      <c r="AC130" s="141">
        <f>IFERROR(_xlfn.XLOOKUP($D130,'Modelling New'!$D:$D,'Modelling New'!$J:$J),"")</f>
        <v>6.8666666666666671</v>
      </c>
      <c r="AD130" s="123">
        <f>IFERROR(_xlfn.XLOOKUP($D130,'Modelling New'!$D:$D,'Modelling New'!$T:$T)*1000,"")</f>
        <v>616013.63346204848</v>
      </c>
      <c r="AE130" s="140"/>
      <c r="AF130" s="140">
        <f>IFERROR(_xlfn.XLOOKUP($D130,'Modelling New'!$D:$D,'Modelling New'!$W:$W),"")</f>
        <v>0.3290671118921199</v>
      </c>
      <c r="AG130" s="140">
        <f>IFERROR(_xlfn.XLOOKUP($D130,'Modelling New'!$D:$D,'Modelling New'!$AE:$AE),"")</f>
        <v>0.96029999999999993</v>
      </c>
      <c r="AH130" s="140">
        <f>IFERROR(_xlfn.XLOOKUP($D130,'Modelling New'!$D:$D,'Modelling New'!$AF:$AF),"")</f>
        <v>0.995</v>
      </c>
      <c r="AI130" s="121">
        <f>IFERROR(_xlfn.XLOOKUP($A130,Input_Raw!$A:$A,Input_Raw!$DE:$DE),"")</f>
        <v>0</v>
      </c>
      <c r="AJ130" s="121"/>
      <c r="AK130" s="121"/>
      <c r="AL130" s="121"/>
      <c r="AM130" s="121"/>
      <c r="AN130" s="142">
        <f>IFERROR(_xlfn.XLOOKUP($A130,Input_Raw!$A:$A,Input_Raw!$DB:$DB),"")</f>
        <v>0</v>
      </c>
      <c r="AO130" s="140" t="str">
        <f>IFERROR((_xlfn.XLOOKUP($A130,'WTG Reactive Power'!$A:$A,'WTG Reactive Power'!$AR:$AR))/X130/1000,"")</f>
        <v/>
      </c>
      <c r="AP130" s="140">
        <f>IFERROR(_xlfn.XLOOKUP($D130,'Modelling New'!$D:$D,'Modelling New'!$AK:$AK),"")</f>
        <v>0.05</v>
      </c>
      <c r="AQ130" s="140">
        <f>IFERROR(_xlfn.XLOOKUP($D130,'Modelling New'!$D:$D,'Modelling New'!$AL:$AL),"")</f>
        <v>0.05</v>
      </c>
      <c r="AR130">
        <f>IFERROR(_xlfn.XLOOKUP($D130,'Modelling New'!$D:$D,'Modelling New'!$N:$N),"")</f>
        <v>78</v>
      </c>
    </row>
    <row r="131" spans="1:44">
      <c r="A131" s="134">
        <f t="shared" si="11"/>
        <v>45874</v>
      </c>
      <c r="B131" s="123">
        <f>YEAR(Table13[[#This Row],[Date]])+IF(MONTH(Table13[[#This Row],[Date]])&gt;=4,1,0)</f>
        <v>2026</v>
      </c>
      <c r="C131" s="121">
        <f>YEAR(Table13[[#This Row],[Date]])</f>
        <v>2025</v>
      </c>
      <c r="D131" s="135">
        <f>Table13[[#This Row],[Date]]-DAY(Table13[[#This Row],[Date]])+1</f>
        <v>45870</v>
      </c>
      <c r="E131" s="121">
        <f t="shared" si="8"/>
        <v>31</v>
      </c>
      <c r="F131" s="124"/>
      <c r="G131" s="125"/>
      <c r="H131" s="125"/>
      <c r="I131" s="125"/>
      <c r="J131" s="125"/>
      <c r="K131" s="136"/>
      <c r="L131" s="125"/>
      <c r="M131" s="125" t="str">
        <f>IFERROR(_xlfn.XLOOKUP($A131,Input_Raw!$A:$A,Input_Raw!CG:CG),"")</f>
        <v/>
      </c>
      <c r="N131" s="125">
        <f>IFERROR(_xlfn.XLOOKUP($A131,Input_Raw!$A:$A,Input_Raw!CH:CH),"")</f>
        <v>0</v>
      </c>
      <c r="O131" s="137" t="str">
        <f t="shared" si="10"/>
        <v/>
      </c>
      <c r="P131" s="137" t="str">
        <f>IFERROR(1-SUMIF(WTG_BD!$F:$F,$A131,WTG_BD!$AA:$AA)/($AA131+SUMIF(WTG_BD!$F:$F,$A131,WTG_BD!$AA:$AA)),"")</f>
        <v/>
      </c>
      <c r="Q131" s="138" t="str">
        <f>IFERROR(1-SUMIF(IGA_BD!$F:$F,$A131,IGA_BD!$V:$V)/($AA131+SUMIF(IGA_BD!$F:$F,$A131,IGA_BD!$V:$V)),"")</f>
        <v/>
      </c>
      <c r="R131" s="143" t="str">
        <f>IFERROR(1-SUMIF(Grid_BD!$F:$F,$A131,Grid_BD!$X:$X)/($AA131+SUMIF(Grid_BD!$F:$F,$A131,Grid_BD!$X:$X)),"")</f>
        <v/>
      </c>
      <c r="S131" s="121"/>
      <c r="T131" s="138"/>
      <c r="U131" s="139"/>
      <c r="V131" s="121"/>
      <c r="W131" s="140">
        <f>IFERROR(Table13[[#This Row],[Mtr_Net_Exp (KWh)]]/(24*AR131*1000),"")</f>
        <v>0</v>
      </c>
      <c r="X131" s="121">
        <f>IFERROR(_xlfn.XLOOKUP($A131,Input_Raw!$A:$A,Input_Raw!$CF:$CF),"")</f>
        <v>0</v>
      </c>
      <c r="Y131" s="121">
        <f>IFERROR(_xlfn.XLOOKUP($A131,Input_Raw!$A:$A,Input_Raw!$CZ:$CZ),"")</f>
        <v>0</v>
      </c>
      <c r="Z131" s="121">
        <f>IFERROR(_xlfn.XLOOKUP($A131,Input_Raw!$A:$A,Input_Raw!$DA:$DA),"")</f>
        <v>0</v>
      </c>
      <c r="AA131" s="123">
        <f t="shared" si="9"/>
        <v>0</v>
      </c>
      <c r="AB131" s="121">
        <f>IFERROR(_xlfn.XLOOKUP($A131,Input_Raw!$A:$A,Input_Raw!$DG:$DG),"")</f>
        <v>0</v>
      </c>
      <c r="AC131" s="141">
        <f>IFERROR(_xlfn.XLOOKUP($D131,'Modelling New'!$D:$D,'Modelling New'!$J:$J),"")</f>
        <v>6.8666666666666671</v>
      </c>
      <c r="AD131" s="123">
        <f>IFERROR(_xlfn.XLOOKUP($D131,'Modelling New'!$D:$D,'Modelling New'!$T:$T)*1000,"")</f>
        <v>616013.63346204848</v>
      </c>
      <c r="AE131" s="140"/>
      <c r="AF131" s="140">
        <f>IFERROR(_xlfn.XLOOKUP($D131,'Modelling New'!$D:$D,'Modelling New'!$W:$W),"")</f>
        <v>0.3290671118921199</v>
      </c>
      <c r="AG131" s="140">
        <f>IFERROR(_xlfn.XLOOKUP($D131,'Modelling New'!$D:$D,'Modelling New'!$AE:$AE),"")</f>
        <v>0.96029999999999993</v>
      </c>
      <c r="AH131" s="140">
        <f>IFERROR(_xlfn.XLOOKUP($D131,'Modelling New'!$D:$D,'Modelling New'!$AF:$AF),"")</f>
        <v>0.995</v>
      </c>
      <c r="AI131" s="121">
        <f>IFERROR(_xlfn.XLOOKUP($A131,Input_Raw!$A:$A,Input_Raw!$DE:$DE),"")</f>
        <v>0</v>
      </c>
      <c r="AJ131" s="121"/>
      <c r="AK131" s="121"/>
      <c r="AL131" s="121"/>
      <c r="AM131" s="121"/>
      <c r="AN131" s="142">
        <f>IFERROR(_xlfn.XLOOKUP($A131,Input_Raw!$A:$A,Input_Raw!$DB:$DB),"")</f>
        <v>0</v>
      </c>
      <c r="AO131" s="140" t="str">
        <f>IFERROR((_xlfn.XLOOKUP($A131,'WTG Reactive Power'!$A:$A,'WTG Reactive Power'!$AR:$AR))/X131/1000,"")</f>
        <v/>
      </c>
      <c r="AP131" s="140">
        <f>IFERROR(_xlfn.XLOOKUP($D131,'Modelling New'!$D:$D,'Modelling New'!$AK:$AK),"")</f>
        <v>0.05</v>
      </c>
      <c r="AQ131" s="140">
        <f>IFERROR(_xlfn.XLOOKUP($D131,'Modelling New'!$D:$D,'Modelling New'!$AL:$AL),"")</f>
        <v>0.05</v>
      </c>
      <c r="AR131">
        <f>IFERROR(_xlfn.XLOOKUP($D131,'Modelling New'!$D:$D,'Modelling New'!$N:$N),"")</f>
        <v>78</v>
      </c>
    </row>
    <row r="132" spans="1:44">
      <c r="A132" s="134">
        <f t="shared" si="11"/>
        <v>45875</v>
      </c>
      <c r="B132" s="123">
        <f>YEAR(Table13[[#This Row],[Date]])+IF(MONTH(Table13[[#This Row],[Date]])&gt;=4,1,0)</f>
        <v>2026</v>
      </c>
      <c r="C132" s="121">
        <f>YEAR(Table13[[#This Row],[Date]])</f>
        <v>2025</v>
      </c>
      <c r="D132" s="135">
        <f>Table13[[#This Row],[Date]]-DAY(Table13[[#This Row],[Date]])+1</f>
        <v>45870</v>
      </c>
      <c r="E132" s="121">
        <f t="shared" si="8"/>
        <v>31</v>
      </c>
      <c r="F132" s="124"/>
      <c r="G132" s="125"/>
      <c r="H132" s="125"/>
      <c r="I132" s="125"/>
      <c r="J132" s="125"/>
      <c r="K132" s="136"/>
      <c r="L132" s="125"/>
      <c r="M132" s="125" t="str">
        <f>IFERROR(_xlfn.XLOOKUP($A132,Input_Raw!$A:$A,Input_Raw!CG:CG),"")</f>
        <v/>
      </c>
      <c r="N132" s="125">
        <f>IFERROR(_xlfn.XLOOKUP($A132,Input_Raw!$A:$A,Input_Raw!CH:CH),"")</f>
        <v>0</v>
      </c>
      <c r="O132" s="137" t="str">
        <f t="shared" si="10"/>
        <v/>
      </c>
      <c r="P132" s="137" t="str">
        <f>IFERROR(1-SUMIF(WTG_BD!$F:$F,$A132,WTG_BD!$AA:$AA)/($AA132+SUMIF(WTG_BD!$F:$F,$A132,WTG_BD!$AA:$AA)),"")</f>
        <v/>
      </c>
      <c r="Q132" s="138" t="str">
        <f>IFERROR(1-SUMIF(IGA_BD!$F:$F,$A132,IGA_BD!$V:$V)/($AA132+SUMIF(IGA_BD!$F:$F,$A132,IGA_BD!$V:$V)),"")</f>
        <v/>
      </c>
      <c r="R132" s="143" t="str">
        <f>IFERROR(1-SUMIF(Grid_BD!$F:$F,$A132,Grid_BD!$X:$X)/($AA132+SUMIF(Grid_BD!$F:$F,$A132,Grid_BD!$X:$X)),"")</f>
        <v/>
      </c>
      <c r="S132" s="121"/>
      <c r="T132" s="138"/>
      <c r="U132" s="139"/>
      <c r="V132" s="121"/>
      <c r="W132" s="140">
        <f>IFERROR(Table13[[#This Row],[Mtr_Net_Exp (KWh)]]/(24*AR132*1000),"")</f>
        <v>0</v>
      </c>
      <c r="X132" s="121">
        <f>IFERROR(_xlfn.XLOOKUP($A132,Input_Raw!$A:$A,Input_Raw!$CF:$CF),"")</f>
        <v>0</v>
      </c>
      <c r="Y132" s="121">
        <f>IFERROR(_xlfn.XLOOKUP($A132,Input_Raw!$A:$A,Input_Raw!$CZ:$CZ),"")</f>
        <v>0</v>
      </c>
      <c r="Z132" s="121">
        <f>IFERROR(_xlfn.XLOOKUP($A132,Input_Raw!$A:$A,Input_Raw!$DA:$DA),"")</f>
        <v>0</v>
      </c>
      <c r="AA132" s="123">
        <f t="shared" si="9"/>
        <v>0</v>
      </c>
      <c r="AB132" s="121">
        <f>IFERROR(_xlfn.XLOOKUP($A132,Input_Raw!$A:$A,Input_Raw!$DG:$DG),"")</f>
        <v>0</v>
      </c>
      <c r="AC132" s="141">
        <f>IFERROR(_xlfn.XLOOKUP($D132,'Modelling New'!$D:$D,'Modelling New'!$J:$J),"")</f>
        <v>6.8666666666666671</v>
      </c>
      <c r="AD132" s="123">
        <f>IFERROR(_xlfn.XLOOKUP($D132,'Modelling New'!$D:$D,'Modelling New'!$T:$T)*1000,"")</f>
        <v>616013.63346204848</v>
      </c>
      <c r="AE132" s="140"/>
      <c r="AF132" s="140">
        <f>IFERROR(_xlfn.XLOOKUP($D132,'Modelling New'!$D:$D,'Modelling New'!$W:$W),"")</f>
        <v>0.3290671118921199</v>
      </c>
      <c r="AG132" s="140">
        <f>IFERROR(_xlfn.XLOOKUP($D132,'Modelling New'!$D:$D,'Modelling New'!$AE:$AE),"")</f>
        <v>0.96029999999999993</v>
      </c>
      <c r="AH132" s="140">
        <f>IFERROR(_xlfn.XLOOKUP($D132,'Modelling New'!$D:$D,'Modelling New'!$AF:$AF),"")</f>
        <v>0.995</v>
      </c>
      <c r="AI132" s="121">
        <f>IFERROR(_xlfn.XLOOKUP($A132,Input_Raw!$A:$A,Input_Raw!$DE:$DE),"")</f>
        <v>0</v>
      </c>
      <c r="AJ132" s="121"/>
      <c r="AK132" s="121"/>
      <c r="AL132" s="121"/>
      <c r="AM132" s="121"/>
      <c r="AN132" s="142">
        <f>IFERROR(_xlfn.XLOOKUP($A132,Input_Raw!$A:$A,Input_Raw!$DB:$DB),"")</f>
        <v>0</v>
      </c>
      <c r="AO132" s="140" t="str">
        <f>IFERROR((_xlfn.XLOOKUP($A132,'WTG Reactive Power'!$A:$A,'WTG Reactive Power'!$AR:$AR))/X132/1000,"")</f>
        <v/>
      </c>
      <c r="AP132" s="140">
        <f>IFERROR(_xlfn.XLOOKUP($D132,'Modelling New'!$D:$D,'Modelling New'!$AK:$AK),"")</f>
        <v>0.05</v>
      </c>
      <c r="AQ132" s="140">
        <f>IFERROR(_xlfn.XLOOKUP($D132,'Modelling New'!$D:$D,'Modelling New'!$AL:$AL),"")</f>
        <v>0.05</v>
      </c>
      <c r="AR132">
        <f>IFERROR(_xlfn.XLOOKUP($D132,'Modelling New'!$D:$D,'Modelling New'!$N:$N),"")</f>
        <v>78</v>
      </c>
    </row>
    <row r="133" spans="1:44">
      <c r="A133" s="134">
        <f t="shared" si="11"/>
        <v>45876</v>
      </c>
      <c r="B133" s="123">
        <f>YEAR(Table13[[#This Row],[Date]])+IF(MONTH(Table13[[#This Row],[Date]])&gt;=4,1,0)</f>
        <v>2026</v>
      </c>
      <c r="C133" s="121">
        <f>YEAR(Table13[[#This Row],[Date]])</f>
        <v>2025</v>
      </c>
      <c r="D133" s="135">
        <f>Table13[[#This Row],[Date]]-DAY(Table13[[#This Row],[Date]])+1</f>
        <v>45870</v>
      </c>
      <c r="E133" s="121">
        <f t="shared" si="8"/>
        <v>31</v>
      </c>
      <c r="F133" s="124"/>
      <c r="G133" s="125"/>
      <c r="H133" s="125"/>
      <c r="I133" s="125"/>
      <c r="J133" s="125"/>
      <c r="K133" s="136"/>
      <c r="L133" s="125"/>
      <c r="M133" s="125" t="str">
        <f>IFERROR(_xlfn.XLOOKUP($A133,Input_Raw!$A:$A,Input_Raw!CG:CG),"")</f>
        <v/>
      </c>
      <c r="N133" s="125">
        <f>IFERROR(_xlfn.XLOOKUP($A133,Input_Raw!$A:$A,Input_Raw!CH:CH),"")</f>
        <v>0</v>
      </c>
      <c r="O133" s="137" t="str">
        <f t="shared" si="10"/>
        <v/>
      </c>
      <c r="P133" s="137" t="str">
        <f>IFERROR(1-SUMIF(WTG_BD!$F:$F,$A133,WTG_BD!$AA:$AA)/($AA133+SUMIF(WTG_BD!$F:$F,$A133,WTG_BD!$AA:$AA)),"")</f>
        <v/>
      </c>
      <c r="Q133" s="138" t="str">
        <f>IFERROR(1-SUMIF(IGA_BD!$F:$F,$A133,IGA_BD!$V:$V)/($AA133+SUMIF(IGA_BD!$F:$F,$A133,IGA_BD!$V:$V)),"")</f>
        <v/>
      </c>
      <c r="R133" s="143" t="str">
        <f>IFERROR(1-SUMIF(Grid_BD!$F:$F,$A133,Grid_BD!$X:$X)/($AA133+SUMIF(Grid_BD!$F:$F,$A133,Grid_BD!$X:$X)),"")</f>
        <v/>
      </c>
      <c r="S133" s="121"/>
      <c r="T133" s="138"/>
      <c r="U133" s="139"/>
      <c r="V133" s="121"/>
      <c r="W133" s="140">
        <f>IFERROR(Table13[[#This Row],[Mtr_Net_Exp (KWh)]]/(24*AR133*1000),"")</f>
        <v>0</v>
      </c>
      <c r="X133" s="121">
        <f>IFERROR(_xlfn.XLOOKUP($A133,Input_Raw!$A:$A,Input_Raw!$CF:$CF),"")</f>
        <v>0</v>
      </c>
      <c r="Y133" s="121">
        <f>IFERROR(_xlfn.XLOOKUP($A133,Input_Raw!$A:$A,Input_Raw!$CZ:$CZ),"")</f>
        <v>0</v>
      </c>
      <c r="Z133" s="121">
        <f>IFERROR(_xlfn.XLOOKUP($A133,Input_Raw!$A:$A,Input_Raw!$DA:$DA),"")</f>
        <v>0</v>
      </c>
      <c r="AA133" s="123">
        <f t="shared" si="9"/>
        <v>0</v>
      </c>
      <c r="AB133" s="121">
        <f>IFERROR(_xlfn.XLOOKUP($A133,Input_Raw!$A:$A,Input_Raw!$DG:$DG),"")</f>
        <v>0</v>
      </c>
      <c r="AC133" s="141">
        <f>IFERROR(_xlfn.XLOOKUP($D133,'Modelling New'!$D:$D,'Modelling New'!$J:$J),"")</f>
        <v>6.8666666666666671</v>
      </c>
      <c r="AD133" s="123">
        <f>IFERROR(_xlfn.XLOOKUP($D133,'Modelling New'!$D:$D,'Modelling New'!$T:$T)*1000,"")</f>
        <v>616013.63346204848</v>
      </c>
      <c r="AE133" s="140"/>
      <c r="AF133" s="140">
        <f>IFERROR(_xlfn.XLOOKUP($D133,'Modelling New'!$D:$D,'Modelling New'!$W:$W),"")</f>
        <v>0.3290671118921199</v>
      </c>
      <c r="AG133" s="140">
        <f>IFERROR(_xlfn.XLOOKUP($D133,'Modelling New'!$D:$D,'Modelling New'!$AE:$AE),"")</f>
        <v>0.96029999999999993</v>
      </c>
      <c r="AH133" s="140">
        <f>IFERROR(_xlfn.XLOOKUP($D133,'Modelling New'!$D:$D,'Modelling New'!$AF:$AF),"")</f>
        <v>0.995</v>
      </c>
      <c r="AI133" s="121">
        <f>IFERROR(_xlfn.XLOOKUP($A133,Input_Raw!$A:$A,Input_Raw!$DE:$DE),"")</f>
        <v>0</v>
      </c>
      <c r="AJ133" s="121"/>
      <c r="AK133" s="121"/>
      <c r="AL133" s="121"/>
      <c r="AM133" s="121"/>
      <c r="AN133" s="142">
        <f>IFERROR(_xlfn.XLOOKUP($A133,Input_Raw!$A:$A,Input_Raw!$DB:$DB),"")</f>
        <v>0</v>
      </c>
      <c r="AO133" s="140" t="str">
        <f>IFERROR((_xlfn.XLOOKUP($A133,'WTG Reactive Power'!$A:$A,'WTG Reactive Power'!$AR:$AR))/X133/1000,"")</f>
        <v/>
      </c>
      <c r="AP133" s="140">
        <f>IFERROR(_xlfn.XLOOKUP($D133,'Modelling New'!$D:$D,'Modelling New'!$AK:$AK),"")</f>
        <v>0.05</v>
      </c>
      <c r="AQ133" s="140">
        <f>IFERROR(_xlfn.XLOOKUP($D133,'Modelling New'!$D:$D,'Modelling New'!$AL:$AL),"")</f>
        <v>0.05</v>
      </c>
      <c r="AR133">
        <f>IFERROR(_xlfn.XLOOKUP($D133,'Modelling New'!$D:$D,'Modelling New'!$N:$N),"")</f>
        <v>78</v>
      </c>
    </row>
    <row r="134" spans="1:44">
      <c r="A134" s="134">
        <f t="shared" si="11"/>
        <v>45877</v>
      </c>
      <c r="B134" s="123">
        <f>YEAR(Table13[[#This Row],[Date]])+IF(MONTH(Table13[[#This Row],[Date]])&gt;=4,1,0)</f>
        <v>2026</v>
      </c>
      <c r="C134" s="121">
        <f>YEAR(Table13[[#This Row],[Date]])</f>
        <v>2025</v>
      </c>
      <c r="D134" s="135">
        <f>Table13[[#This Row],[Date]]-DAY(Table13[[#This Row],[Date]])+1</f>
        <v>45870</v>
      </c>
      <c r="E134" s="121">
        <f t="shared" si="8"/>
        <v>31</v>
      </c>
      <c r="F134" s="124"/>
      <c r="G134" s="125"/>
      <c r="H134" s="125"/>
      <c r="I134" s="125"/>
      <c r="J134" s="125"/>
      <c r="K134" s="136"/>
      <c r="L134" s="125"/>
      <c r="M134" s="125" t="str">
        <f>IFERROR(_xlfn.XLOOKUP($A134,Input_Raw!$A:$A,Input_Raw!CG:CG),"")</f>
        <v/>
      </c>
      <c r="N134" s="125">
        <f>IFERROR(_xlfn.XLOOKUP($A134,Input_Raw!$A:$A,Input_Raw!CH:CH),"")</f>
        <v>0</v>
      </c>
      <c r="O134" s="137" t="str">
        <f t="shared" si="10"/>
        <v/>
      </c>
      <c r="P134" s="137" t="str">
        <f>IFERROR(1-SUMIF(WTG_BD!$F:$F,$A134,WTG_BD!$AA:$AA)/($AA134+SUMIF(WTG_BD!$F:$F,$A134,WTG_BD!$AA:$AA)),"")</f>
        <v/>
      </c>
      <c r="Q134" s="138" t="str">
        <f>IFERROR(1-SUMIF(IGA_BD!$F:$F,$A134,IGA_BD!$V:$V)/($AA134+SUMIF(IGA_BD!$F:$F,$A134,IGA_BD!$V:$V)),"")</f>
        <v/>
      </c>
      <c r="R134" s="143" t="str">
        <f>IFERROR(1-SUMIF(Grid_BD!$F:$F,$A134,Grid_BD!$X:$X)/($AA134+SUMIF(Grid_BD!$F:$F,$A134,Grid_BD!$X:$X)),"")</f>
        <v/>
      </c>
      <c r="S134" s="121"/>
      <c r="T134" s="138"/>
      <c r="U134" s="139"/>
      <c r="V134" s="121"/>
      <c r="W134" s="140">
        <f>IFERROR(Table13[[#This Row],[Mtr_Net_Exp (KWh)]]/(24*AR134*1000),"")</f>
        <v>0</v>
      </c>
      <c r="X134" s="121">
        <f>IFERROR(_xlfn.XLOOKUP($A134,Input_Raw!$A:$A,Input_Raw!$CF:$CF),"")</f>
        <v>0</v>
      </c>
      <c r="Y134" s="121">
        <f>IFERROR(_xlfn.XLOOKUP($A134,Input_Raw!$A:$A,Input_Raw!$CZ:$CZ),"")</f>
        <v>0</v>
      </c>
      <c r="Z134" s="121">
        <f>IFERROR(_xlfn.XLOOKUP($A134,Input_Raw!$A:$A,Input_Raw!$DA:$DA),"")</f>
        <v>0</v>
      </c>
      <c r="AA134" s="123">
        <f t="shared" si="9"/>
        <v>0</v>
      </c>
      <c r="AB134" s="121">
        <f>IFERROR(_xlfn.XLOOKUP($A134,Input_Raw!$A:$A,Input_Raw!$DG:$DG),"")</f>
        <v>0</v>
      </c>
      <c r="AC134" s="141">
        <f>IFERROR(_xlfn.XLOOKUP($D134,'Modelling New'!$D:$D,'Modelling New'!$J:$J),"")</f>
        <v>6.8666666666666671</v>
      </c>
      <c r="AD134" s="123">
        <f>IFERROR(_xlfn.XLOOKUP($D134,'Modelling New'!$D:$D,'Modelling New'!$T:$T)*1000,"")</f>
        <v>616013.63346204848</v>
      </c>
      <c r="AE134" s="140"/>
      <c r="AF134" s="140">
        <f>IFERROR(_xlfn.XLOOKUP($D134,'Modelling New'!$D:$D,'Modelling New'!$W:$W),"")</f>
        <v>0.3290671118921199</v>
      </c>
      <c r="AG134" s="140">
        <f>IFERROR(_xlfn.XLOOKUP($D134,'Modelling New'!$D:$D,'Modelling New'!$AE:$AE),"")</f>
        <v>0.96029999999999993</v>
      </c>
      <c r="AH134" s="140">
        <f>IFERROR(_xlfn.XLOOKUP($D134,'Modelling New'!$D:$D,'Modelling New'!$AF:$AF),"")</f>
        <v>0.995</v>
      </c>
      <c r="AI134" s="121">
        <f>IFERROR(_xlfn.XLOOKUP($A134,Input_Raw!$A:$A,Input_Raw!$DE:$DE),"")</f>
        <v>0</v>
      </c>
      <c r="AJ134" s="121"/>
      <c r="AK134" s="121"/>
      <c r="AL134" s="121"/>
      <c r="AM134" s="121"/>
      <c r="AN134" s="142">
        <f>IFERROR(_xlfn.XLOOKUP($A134,Input_Raw!$A:$A,Input_Raw!$DB:$DB),"")</f>
        <v>0</v>
      </c>
      <c r="AO134" s="140" t="str">
        <f>IFERROR((_xlfn.XLOOKUP($A134,'WTG Reactive Power'!$A:$A,'WTG Reactive Power'!$AR:$AR))/X134/1000,"")</f>
        <v/>
      </c>
      <c r="AP134" s="140">
        <f>IFERROR(_xlfn.XLOOKUP($D134,'Modelling New'!$D:$D,'Modelling New'!$AK:$AK),"")</f>
        <v>0.05</v>
      </c>
      <c r="AQ134" s="140">
        <f>IFERROR(_xlfn.XLOOKUP($D134,'Modelling New'!$D:$D,'Modelling New'!$AL:$AL),"")</f>
        <v>0.05</v>
      </c>
      <c r="AR134">
        <f>IFERROR(_xlfn.XLOOKUP($D134,'Modelling New'!$D:$D,'Modelling New'!$N:$N),"")</f>
        <v>78</v>
      </c>
    </row>
    <row r="135" spans="1:44">
      <c r="A135" s="134">
        <f t="shared" si="11"/>
        <v>45878</v>
      </c>
      <c r="B135" s="123">
        <f>YEAR(Table13[[#This Row],[Date]])+IF(MONTH(Table13[[#This Row],[Date]])&gt;=4,1,0)</f>
        <v>2026</v>
      </c>
      <c r="C135" s="121">
        <f>YEAR(Table13[[#This Row],[Date]])</f>
        <v>2025</v>
      </c>
      <c r="D135" s="135">
        <f>Table13[[#This Row],[Date]]-DAY(Table13[[#This Row],[Date]])+1</f>
        <v>45870</v>
      </c>
      <c r="E135" s="121">
        <f t="shared" si="8"/>
        <v>31</v>
      </c>
      <c r="F135" s="124"/>
      <c r="G135" s="125"/>
      <c r="H135" s="125"/>
      <c r="I135" s="125"/>
      <c r="J135" s="125"/>
      <c r="K135" s="136"/>
      <c r="L135" s="125"/>
      <c r="M135" s="125" t="str">
        <f>IFERROR(_xlfn.XLOOKUP($A135,Input_Raw!$A:$A,Input_Raw!CG:CG),"")</f>
        <v/>
      </c>
      <c r="N135" s="125">
        <f>IFERROR(_xlfn.XLOOKUP($A135,Input_Raw!$A:$A,Input_Raw!CH:CH),"")</f>
        <v>0</v>
      </c>
      <c r="O135" s="137" t="str">
        <f t="shared" si="10"/>
        <v/>
      </c>
      <c r="P135" s="137" t="str">
        <f>IFERROR(1-SUMIF(WTG_BD!$F:$F,$A135,WTG_BD!$AA:$AA)/($AA135+SUMIF(WTG_BD!$F:$F,$A135,WTG_BD!$AA:$AA)),"")</f>
        <v/>
      </c>
      <c r="Q135" s="138" t="str">
        <f>IFERROR(1-SUMIF(IGA_BD!$F:$F,$A135,IGA_BD!$V:$V)/($AA135+SUMIF(IGA_BD!$F:$F,$A135,IGA_BD!$V:$V)),"")</f>
        <v/>
      </c>
      <c r="R135" s="143" t="str">
        <f>IFERROR(1-SUMIF(Grid_BD!$F:$F,$A135,Grid_BD!$X:$X)/($AA135+SUMIF(Grid_BD!$F:$F,$A135,Grid_BD!$X:$X)),"")</f>
        <v/>
      </c>
      <c r="S135" s="121"/>
      <c r="T135" s="138"/>
      <c r="U135" s="139"/>
      <c r="V135" s="121"/>
      <c r="W135" s="140">
        <f>IFERROR(Table13[[#This Row],[Mtr_Net_Exp (KWh)]]/(24*AR135*1000),"")</f>
        <v>0</v>
      </c>
      <c r="X135" s="121">
        <f>IFERROR(_xlfn.XLOOKUP($A135,Input_Raw!$A:$A,Input_Raw!$CF:$CF),"")</f>
        <v>0</v>
      </c>
      <c r="Y135" s="121">
        <f>IFERROR(_xlfn.XLOOKUP($A135,Input_Raw!$A:$A,Input_Raw!$CZ:$CZ),"")</f>
        <v>0</v>
      </c>
      <c r="Z135" s="121">
        <f>IFERROR(_xlfn.XLOOKUP($A135,Input_Raw!$A:$A,Input_Raw!$DA:$DA),"")</f>
        <v>0</v>
      </c>
      <c r="AA135" s="123">
        <f t="shared" si="9"/>
        <v>0</v>
      </c>
      <c r="AB135" s="121">
        <f>IFERROR(_xlfn.XLOOKUP($A135,Input_Raw!$A:$A,Input_Raw!$DG:$DG),"")</f>
        <v>0</v>
      </c>
      <c r="AC135" s="141">
        <f>IFERROR(_xlfn.XLOOKUP($D135,'Modelling New'!$D:$D,'Modelling New'!$J:$J),"")</f>
        <v>6.8666666666666671</v>
      </c>
      <c r="AD135" s="123">
        <f>IFERROR(_xlfn.XLOOKUP($D135,'Modelling New'!$D:$D,'Modelling New'!$T:$T)*1000,"")</f>
        <v>616013.63346204848</v>
      </c>
      <c r="AE135" s="140"/>
      <c r="AF135" s="140">
        <f>IFERROR(_xlfn.XLOOKUP($D135,'Modelling New'!$D:$D,'Modelling New'!$W:$W),"")</f>
        <v>0.3290671118921199</v>
      </c>
      <c r="AG135" s="140">
        <f>IFERROR(_xlfn.XLOOKUP($D135,'Modelling New'!$D:$D,'Modelling New'!$AE:$AE),"")</f>
        <v>0.96029999999999993</v>
      </c>
      <c r="AH135" s="140">
        <f>IFERROR(_xlfn.XLOOKUP($D135,'Modelling New'!$D:$D,'Modelling New'!$AF:$AF),"")</f>
        <v>0.995</v>
      </c>
      <c r="AI135" s="121">
        <f>IFERROR(_xlfn.XLOOKUP($A135,Input_Raw!$A:$A,Input_Raw!$DE:$DE),"")</f>
        <v>0</v>
      </c>
      <c r="AJ135" s="121"/>
      <c r="AK135" s="121"/>
      <c r="AL135" s="121"/>
      <c r="AM135" s="121"/>
      <c r="AN135" s="142">
        <f>IFERROR(_xlfn.XLOOKUP($A135,Input_Raw!$A:$A,Input_Raw!$DB:$DB),"")</f>
        <v>0</v>
      </c>
      <c r="AO135" s="140" t="str">
        <f>IFERROR((_xlfn.XLOOKUP($A135,'WTG Reactive Power'!$A:$A,'WTG Reactive Power'!$AR:$AR))/X135/1000,"")</f>
        <v/>
      </c>
      <c r="AP135" s="140">
        <f>IFERROR(_xlfn.XLOOKUP($D135,'Modelling New'!$D:$D,'Modelling New'!$AK:$AK),"")</f>
        <v>0.05</v>
      </c>
      <c r="AQ135" s="140">
        <f>IFERROR(_xlfn.XLOOKUP($D135,'Modelling New'!$D:$D,'Modelling New'!$AL:$AL),"")</f>
        <v>0.05</v>
      </c>
      <c r="AR135">
        <f>IFERROR(_xlfn.XLOOKUP($D135,'Modelling New'!$D:$D,'Modelling New'!$N:$N),"")</f>
        <v>78</v>
      </c>
    </row>
    <row r="136" spans="1:44">
      <c r="A136" s="134">
        <f t="shared" si="11"/>
        <v>45879</v>
      </c>
      <c r="B136" s="123">
        <f>YEAR(Table13[[#This Row],[Date]])+IF(MONTH(Table13[[#This Row],[Date]])&gt;=4,1,0)</f>
        <v>2026</v>
      </c>
      <c r="C136" s="121">
        <f>YEAR(Table13[[#This Row],[Date]])</f>
        <v>2025</v>
      </c>
      <c r="D136" s="135">
        <f>Table13[[#This Row],[Date]]-DAY(Table13[[#This Row],[Date]])+1</f>
        <v>45870</v>
      </c>
      <c r="E136" s="121">
        <f t="shared" si="8"/>
        <v>31</v>
      </c>
      <c r="F136" s="124"/>
      <c r="G136" s="125"/>
      <c r="H136" s="125"/>
      <c r="I136" s="125"/>
      <c r="J136" s="125"/>
      <c r="K136" s="136"/>
      <c r="L136" s="125"/>
      <c r="M136" s="125" t="str">
        <f>IFERROR(_xlfn.XLOOKUP($A136,Input_Raw!$A:$A,Input_Raw!CG:CG),"")</f>
        <v/>
      </c>
      <c r="N136" s="125">
        <f>IFERROR(_xlfn.XLOOKUP($A136,Input_Raw!$A:$A,Input_Raw!CH:CH),"")</f>
        <v>0</v>
      </c>
      <c r="O136" s="137" t="str">
        <f t="shared" si="10"/>
        <v/>
      </c>
      <c r="P136" s="137" t="str">
        <f>IFERROR(1-SUMIF(WTG_BD!$F:$F,$A136,WTG_BD!$AA:$AA)/($AA136+SUMIF(WTG_BD!$F:$F,$A136,WTG_BD!$AA:$AA)),"")</f>
        <v/>
      </c>
      <c r="Q136" s="138" t="str">
        <f>IFERROR(1-SUMIF(IGA_BD!$F:$F,$A136,IGA_BD!$V:$V)/($AA136+SUMIF(IGA_BD!$F:$F,$A136,IGA_BD!$V:$V)),"")</f>
        <v/>
      </c>
      <c r="R136" s="143" t="str">
        <f>IFERROR(1-SUMIF(Grid_BD!$F:$F,$A136,Grid_BD!$X:$X)/($AA136+SUMIF(Grid_BD!$F:$F,$A136,Grid_BD!$X:$X)),"")</f>
        <v/>
      </c>
      <c r="S136" s="121"/>
      <c r="T136" s="138"/>
      <c r="U136" s="139"/>
      <c r="V136" s="121"/>
      <c r="W136" s="140">
        <f>IFERROR(Table13[[#This Row],[Mtr_Net_Exp (KWh)]]/(24*AR136*1000),"")</f>
        <v>0</v>
      </c>
      <c r="X136" s="121">
        <f>IFERROR(_xlfn.XLOOKUP($A136,Input_Raw!$A:$A,Input_Raw!$CF:$CF),"")</f>
        <v>0</v>
      </c>
      <c r="Y136" s="121">
        <f>IFERROR(_xlfn.XLOOKUP($A136,Input_Raw!$A:$A,Input_Raw!$CZ:$CZ),"")</f>
        <v>0</v>
      </c>
      <c r="Z136" s="121">
        <f>IFERROR(_xlfn.XLOOKUP($A136,Input_Raw!$A:$A,Input_Raw!$DA:$DA),"")</f>
        <v>0</v>
      </c>
      <c r="AA136" s="123">
        <f t="shared" si="9"/>
        <v>0</v>
      </c>
      <c r="AB136" s="121">
        <f>IFERROR(_xlfn.XLOOKUP($A136,Input_Raw!$A:$A,Input_Raw!$DG:$DG),"")</f>
        <v>0</v>
      </c>
      <c r="AC136" s="141">
        <f>IFERROR(_xlfn.XLOOKUP($D136,'Modelling New'!$D:$D,'Modelling New'!$J:$J),"")</f>
        <v>6.8666666666666671</v>
      </c>
      <c r="AD136" s="123">
        <f>IFERROR(_xlfn.XLOOKUP($D136,'Modelling New'!$D:$D,'Modelling New'!$T:$T)*1000,"")</f>
        <v>616013.63346204848</v>
      </c>
      <c r="AE136" s="140"/>
      <c r="AF136" s="140">
        <f>IFERROR(_xlfn.XLOOKUP($D136,'Modelling New'!$D:$D,'Modelling New'!$W:$W),"")</f>
        <v>0.3290671118921199</v>
      </c>
      <c r="AG136" s="140">
        <f>IFERROR(_xlfn.XLOOKUP($D136,'Modelling New'!$D:$D,'Modelling New'!$AE:$AE),"")</f>
        <v>0.96029999999999993</v>
      </c>
      <c r="AH136" s="140">
        <f>IFERROR(_xlfn.XLOOKUP($D136,'Modelling New'!$D:$D,'Modelling New'!$AF:$AF),"")</f>
        <v>0.995</v>
      </c>
      <c r="AI136" s="121">
        <f>IFERROR(_xlfn.XLOOKUP($A136,Input_Raw!$A:$A,Input_Raw!$DE:$DE),"")</f>
        <v>0</v>
      </c>
      <c r="AJ136" s="121"/>
      <c r="AK136" s="121"/>
      <c r="AL136" s="121"/>
      <c r="AM136" s="121"/>
      <c r="AN136" s="142">
        <f>IFERROR(_xlfn.XLOOKUP($A136,Input_Raw!$A:$A,Input_Raw!$DB:$DB),"")</f>
        <v>0</v>
      </c>
      <c r="AO136" s="140" t="str">
        <f>IFERROR((_xlfn.XLOOKUP($A136,'WTG Reactive Power'!$A:$A,'WTG Reactive Power'!$AR:$AR))/X136/1000,"")</f>
        <v/>
      </c>
      <c r="AP136" s="140">
        <f>IFERROR(_xlfn.XLOOKUP($D136,'Modelling New'!$D:$D,'Modelling New'!$AK:$AK),"")</f>
        <v>0.05</v>
      </c>
      <c r="AQ136" s="140">
        <f>IFERROR(_xlfn.XLOOKUP($D136,'Modelling New'!$D:$D,'Modelling New'!$AL:$AL),"")</f>
        <v>0.05</v>
      </c>
      <c r="AR136">
        <f>IFERROR(_xlfn.XLOOKUP($D136,'Modelling New'!$D:$D,'Modelling New'!$N:$N),"")</f>
        <v>78</v>
      </c>
    </row>
    <row r="137" spans="1:44">
      <c r="A137" s="134">
        <f t="shared" si="11"/>
        <v>45880</v>
      </c>
      <c r="B137" s="123">
        <f>YEAR(Table13[[#This Row],[Date]])+IF(MONTH(Table13[[#This Row],[Date]])&gt;=4,1,0)</f>
        <v>2026</v>
      </c>
      <c r="C137" s="121">
        <f>YEAR(Table13[[#This Row],[Date]])</f>
        <v>2025</v>
      </c>
      <c r="D137" s="135">
        <f>Table13[[#This Row],[Date]]-DAY(Table13[[#This Row],[Date]])+1</f>
        <v>45870</v>
      </c>
      <c r="E137" s="121">
        <f t="shared" si="8"/>
        <v>31</v>
      </c>
      <c r="F137" s="124"/>
      <c r="G137" s="125"/>
      <c r="H137" s="125"/>
      <c r="I137" s="125"/>
      <c r="J137" s="125"/>
      <c r="K137" s="136"/>
      <c r="L137" s="125"/>
      <c r="M137" s="125" t="str">
        <f>IFERROR(_xlfn.XLOOKUP($A137,Input_Raw!$A:$A,Input_Raw!CG:CG),"")</f>
        <v/>
      </c>
      <c r="N137" s="125">
        <f>IFERROR(_xlfn.XLOOKUP($A137,Input_Raw!$A:$A,Input_Raw!CH:CH),"")</f>
        <v>0</v>
      </c>
      <c r="O137" s="137" t="str">
        <f t="shared" si="10"/>
        <v/>
      </c>
      <c r="P137" s="137" t="str">
        <f>IFERROR(1-SUMIF(WTG_BD!$F:$F,$A137,WTG_BD!$AA:$AA)/($AA137+SUMIF(WTG_BD!$F:$F,$A137,WTG_BD!$AA:$AA)),"")</f>
        <v/>
      </c>
      <c r="Q137" s="138" t="str">
        <f>IFERROR(1-SUMIF(IGA_BD!$F:$F,$A137,IGA_BD!$V:$V)/($AA137+SUMIF(IGA_BD!$F:$F,$A137,IGA_BD!$V:$V)),"")</f>
        <v/>
      </c>
      <c r="R137" s="143" t="str">
        <f>IFERROR(1-SUMIF(Grid_BD!$F:$F,$A137,Grid_BD!$X:$X)/($AA137+SUMIF(Grid_BD!$F:$F,$A137,Grid_BD!$X:$X)),"")</f>
        <v/>
      </c>
      <c r="S137" s="121"/>
      <c r="T137" s="138"/>
      <c r="U137" s="139"/>
      <c r="V137" s="121"/>
      <c r="W137" s="140">
        <f>IFERROR(Table13[[#This Row],[Mtr_Net_Exp (KWh)]]/(24*AR137*1000),"")</f>
        <v>0</v>
      </c>
      <c r="X137" s="121">
        <f>IFERROR(_xlfn.XLOOKUP($A137,Input_Raw!$A:$A,Input_Raw!$CF:$CF),"")</f>
        <v>0</v>
      </c>
      <c r="Y137" s="121">
        <f>IFERROR(_xlfn.XLOOKUP($A137,Input_Raw!$A:$A,Input_Raw!$CZ:$CZ),"")</f>
        <v>0</v>
      </c>
      <c r="Z137" s="121">
        <f>IFERROR(_xlfn.XLOOKUP($A137,Input_Raw!$A:$A,Input_Raw!$DA:$DA),"")</f>
        <v>0</v>
      </c>
      <c r="AA137" s="123">
        <f t="shared" si="9"/>
        <v>0</v>
      </c>
      <c r="AB137" s="121">
        <f>IFERROR(_xlfn.XLOOKUP($A137,Input_Raw!$A:$A,Input_Raw!$DG:$DG),"")</f>
        <v>0</v>
      </c>
      <c r="AC137" s="141">
        <f>IFERROR(_xlfn.XLOOKUP($D137,'Modelling New'!$D:$D,'Modelling New'!$J:$J),"")</f>
        <v>6.8666666666666671</v>
      </c>
      <c r="AD137" s="123">
        <f>IFERROR(_xlfn.XLOOKUP($D137,'Modelling New'!$D:$D,'Modelling New'!$T:$T)*1000,"")</f>
        <v>616013.63346204848</v>
      </c>
      <c r="AE137" s="140"/>
      <c r="AF137" s="140">
        <f>IFERROR(_xlfn.XLOOKUP($D137,'Modelling New'!$D:$D,'Modelling New'!$W:$W),"")</f>
        <v>0.3290671118921199</v>
      </c>
      <c r="AG137" s="140">
        <f>IFERROR(_xlfn.XLOOKUP($D137,'Modelling New'!$D:$D,'Modelling New'!$AE:$AE),"")</f>
        <v>0.96029999999999993</v>
      </c>
      <c r="AH137" s="140">
        <f>IFERROR(_xlfn.XLOOKUP($D137,'Modelling New'!$D:$D,'Modelling New'!$AF:$AF),"")</f>
        <v>0.995</v>
      </c>
      <c r="AI137" s="121">
        <f>IFERROR(_xlfn.XLOOKUP($A137,Input_Raw!$A:$A,Input_Raw!$DE:$DE),"")</f>
        <v>0</v>
      </c>
      <c r="AJ137" s="121"/>
      <c r="AK137" s="121"/>
      <c r="AL137" s="121"/>
      <c r="AM137" s="121"/>
      <c r="AN137" s="142">
        <f>IFERROR(_xlfn.XLOOKUP($A137,Input_Raw!$A:$A,Input_Raw!$DB:$DB),"")</f>
        <v>0</v>
      </c>
      <c r="AO137" s="140" t="str">
        <f>IFERROR((_xlfn.XLOOKUP($A137,'WTG Reactive Power'!$A:$A,'WTG Reactive Power'!$AR:$AR))/X137/1000,"")</f>
        <v/>
      </c>
      <c r="AP137" s="140">
        <f>IFERROR(_xlfn.XLOOKUP($D137,'Modelling New'!$D:$D,'Modelling New'!$AK:$AK),"")</f>
        <v>0.05</v>
      </c>
      <c r="AQ137" s="140">
        <f>IFERROR(_xlfn.XLOOKUP($D137,'Modelling New'!$D:$D,'Modelling New'!$AL:$AL),"")</f>
        <v>0.05</v>
      </c>
      <c r="AR137">
        <f>IFERROR(_xlfn.XLOOKUP($D137,'Modelling New'!$D:$D,'Modelling New'!$N:$N),"")</f>
        <v>78</v>
      </c>
    </row>
    <row r="138" spans="1:44">
      <c r="A138" s="134">
        <f t="shared" si="11"/>
        <v>45881</v>
      </c>
      <c r="B138" s="123">
        <f>YEAR(Table13[[#This Row],[Date]])+IF(MONTH(Table13[[#This Row],[Date]])&gt;=4,1,0)</f>
        <v>2026</v>
      </c>
      <c r="C138" s="121">
        <f>YEAR(Table13[[#This Row],[Date]])</f>
        <v>2025</v>
      </c>
      <c r="D138" s="135">
        <f>Table13[[#This Row],[Date]]-DAY(Table13[[#This Row],[Date]])+1</f>
        <v>45870</v>
      </c>
      <c r="E138" s="121">
        <f t="shared" si="8"/>
        <v>31</v>
      </c>
      <c r="F138" s="124"/>
      <c r="G138" s="125"/>
      <c r="H138" s="125"/>
      <c r="I138" s="125"/>
      <c r="J138" s="125"/>
      <c r="K138" s="136"/>
      <c r="L138" s="125"/>
      <c r="M138" s="125" t="str">
        <f>IFERROR(_xlfn.XLOOKUP($A138,Input_Raw!$A:$A,Input_Raw!CG:CG),"")</f>
        <v/>
      </c>
      <c r="N138" s="125">
        <f>IFERROR(_xlfn.XLOOKUP($A138,Input_Raw!$A:$A,Input_Raw!CH:CH),"")</f>
        <v>0</v>
      </c>
      <c r="O138" s="137" t="str">
        <f t="shared" si="10"/>
        <v/>
      </c>
      <c r="P138" s="137" t="str">
        <f>IFERROR(1-SUMIF(WTG_BD!$F:$F,$A138,WTG_BD!$AA:$AA)/($AA138+SUMIF(WTG_BD!$F:$F,$A138,WTG_BD!$AA:$AA)),"")</f>
        <v/>
      </c>
      <c r="Q138" s="138" t="str">
        <f>IFERROR(1-SUMIF(IGA_BD!$F:$F,$A138,IGA_BD!$V:$V)/($AA138+SUMIF(IGA_BD!$F:$F,$A138,IGA_BD!$V:$V)),"")</f>
        <v/>
      </c>
      <c r="R138" s="143" t="str">
        <f>IFERROR(1-SUMIF(Grid_BD!$F:$F,$A138,Grid_BD!$X:$X)/($AA138+SUMIF(Grid_BD!$F:$F,$A138,Grid_BD!$X:$X)),"")</f>
        <v/>
      </c>
      <c r="S138" s="121"/>
      <c r="T138" s="138"/>
      <c r="U138" s="139"/>
      <c r="V138" s="121"/>
      <c r="W138" s="140">
        <f>IFERROR(Table13[[#This Row],[Mtr_Net_Exp (KWh)]]/(24*AR138*1000),"")</f>
        <v>0</v>
      </c>
      <c r="X138" s="121">
        <f>IFERROR(_xlfn.XLOOKUP($A138,Input_Raw!$A:$A,Input_Raw!$CF:$CF),"")</f>
        <v>0</v>
      </c>
      <c r="Y138" s="121">
        <f>IFERROR(_xlfn.XLOOKUP($A138,Input_Raw!$A:$A,Input_Raw!$CZ:$CZ),"")</f>
        <v>0</v>
      </c>
      <c r="Z138" s="121">
        <f>IFERROR(_xlfn.XLOOKUP($A138,Input_Raw!$A:$A,Input_Raw!$DA:$DA),"")</f>
        <v>0</v>
      </c>
      <c r="AA138" s="123">
        <f t="shared" si="9"/>
        <v>0</v>
      </c>
      <c r="AB138" s="121">
        <f>IFERROR(_xlfn.XLOOKUP($A138,Input_Raw!$A:$A,Input_Raw!$DG:$DG),"")</f>
        <v>0</v>
      </c>
      <c r="AC138" s="141">
        <f>IFERROR(_xlfn.XLOOKUP($D138,'Modelling New'!$D:$D,'Modelling New'!$J:$J),"")</f>
        <v>6.8666666666666671</v>
      </c>
      <c r="AD138" s="123">
        <f>IFERROR(_xlfn.XLOOKUP($D138,'Modelling New'!$D:$D,'Modelling New'!$T:$T)*1000,"")</f>
        <v>616013.63346204848</v>
      </c>
      <c r="AE138" s="140"/>
      <c r="AF138" s="140">
        <f>IFERROR(_xlfn.XLOOKUP($D138,'Modelling New'!$D:$D,'Modelling New'!$W:$W),"")</f>
        <v>0.3290671118921199</v>
      </c>
      <c r="AG138" s="140">
        <f>IFERROR(_xlfn.XLOOKUP($D138,'Modelling New'!$D:$D,'Modelling New'!$AE:$AE),"")</f>
        <v>0.96029999999999993</v>
      </c>
      <c r="AH138" s="140">
        <f>IFERROR(_xlfn.XLOOKUP($D138,'Modelling New'!$D:$D,'Modelling New'!$AF:$AF),"")</f>
        <v>0.995</v>
      </c>
      <c r="AI138" s="121">
        <f>IFERROR(_xlfn.XLOOKUP($A138,Input_Raw!$A:$A,Input_Raw!$DE:$DE),"")</f>
        <v>0</v>
      </c>
      <c r="AJ138" s="121"/>
      <c r="AK138" s="121"/>
      <c r="AL138" s="121"/>
      <c r="AM138" s="121"/>
      <c r="AN138" s="142">
        <f>IFERROR(_xlfn.XLOOKUP($A138,Input_Raw!$A:$A,Input_Raw!$DB:$DB),"")</f>
        <v>0</v>
      </c>
      <c r="AO138" s="140" t="str">
        <f>IFERROR((_xlfn.XLOOKUP($A138,'WTG Reactive Power'!$A:$A,'WTG Reactive Power'!$AR:$AR))/X138/1000,"")</f>
        <v/>
      </c>
      <c r="AP138" s="140">
        <f>IFERROR(_xlfn.XLOOKUP($D138,'Modelling New'!$D:$D,'Modelling New'!$AK:$AK),"")</f>
        <v>0.05</v>
      </c>
      <c r="AQ138" s="140">
        <f>IFERROR(_xlfn.XLOOKUP($D138,'Modelling New'!$D:$D,'Modelling New'!$AL:$AL),"")</f>
        <v>0.05</v>
      </c>
      <c r="AR138">
        <f>IFERROR(_xlfn.XLOOKUP($D138,'Modelling New'!$D:$D,'Modelling New'!$N:$N),"")</f>
        <v>78</v>
      </c>
    </row>
    <row r="139" spans="1:44">
      <c r="A139" s="134">
        <f t="shared" si="11"/>
        <v>45882</v>
      </c>
      <c r="B139" s="123">
        <f>YEAR(Table13[[#This Row],[Date]])+IF(MONTH(Table13[[#This Row],[Date]])&gt;=4,1,0)</f>
        <v>2026</v>
      </c>
      <c r="C139" s="121">
        <f>YEAR(Table13[[#This Row],[Date]])</f>
        <v>2025</v>
      </c>
      <c r="D139" s="135">
        <f>Table13[[#This Row],[Date]]-DAY(Table13[[#This Row],[Date]])+1</f>
        <v>45870</v>
      </c>
      <c r="E139" s="121">
        <f t="shared" si="8"/>
        <v>31</v>
      </c>
      <c r="F139" s="124"/>
      <c r="G139" s="125"/>
      <c r="H139" s="125"/>
      <c r="I139" s="125"/>
      <c r="J139" s="125"/>
      <c r="K139" s="136"/>
      <c r="L139" s="125"/>
      <c r="M139" s="125" t="str">
        <f>IFERROR(_xlfn.XLOOKUP($A139,Input_Raw!$A:$A,Input_Raw!CG:CG),"")</f>
        <v/>
      </c>
      <c r="N139" s="125">
        <f>IFERROR(_xlfn.XLOOKUP($A139,Input_Raw!$A:$A,Input_Raw!CH:CH),"")</f>
        <v>0</v>
      </c>
      <c r="O139" s="137" t="str">
        <f t="shared" si="10"/>
        <v/>
      </c>
      <c r="P139" s="137" t="str">
        <f>IFERROR(1-SUMIF(WTG_BD!$F:$F,$A139,WTG_BD!$AA:$AA)/($AA139+SUMIF(WTG_BD!$F:$F,$A139,WTG_BD!$AA:$AA)),"")</f>
        <v/>
      </c>
      <c r="Q139" s="138" t="str">
        <f>IFERROR(1-SUMIF(IGA_BD!$F:$F,$A139,IGA_BD!$V:$V)/($AA139+SUMIF(IGA_BD!$F:$F,$A139,IGA_BD!$V:$V)),"")</f>
        <v/>
      </c>
      <c r="R139" s="143" t="str">
        <f>IFERROR(1-SUMIF(Grid_BD!$F:$F,$A139,Grid_BD!$X:$X)/($AA139+SUMIF(Grid_BD!$F:$F,$A139,Grid_BD!$X:$X)),"")</f>
        <v/>
      </c>
      <c r="S139" s="121"/>
      <c r="T139" s="138"/>
      <c r="U139" s="139"/>
      <c r="V139" s="121"/>
      <c r="W139" s="140">
        <f>IFERROR(Table13[[#This Row],[Mtr_Net_Exp (KWh)]]/(24*AR139*1000),"")</f>
        <v>0</v>
      </c>
      <c r="X139" s="121">
        <f>IFERROR(_xlfn.XLOOKUP($A139,Input_Raw!$A:$A,Input_Raw!$CF:$CF),"")</f>
        <v>0</v>
      </c>
      <c r="Y139" s="121">
        <f>IFERROR(_xlfn.XLOOKUP($A139,Input_Raw!$A:$A,Input_Raw!$CZ:$CZ),"")</f>
        <v>0</v>
      </c>
      <c r="Z139" s="121">
        <f>IFERROR(_xlfn.XLOOKUP($A139,Input_Raw!$A:$A,Input_Raw!$DA:$DA),"")</f>
        <v>0</v>
      </c>
      <c r="AA139" s="123">
        <f t="shared" si="9"/>
        <v>0</v>
      </c>
      <c r="AB139" s="121">
        <f>IFERROR(_xlfn.XLOOKUP($A139,Input_Raw!$A:$A,Input_Raw!$DG:$DG),"")</f>
        <v>0</v>
      </c>
      <c r="AC139" s="141">
        <f>IFERROR(_xlfn.XLOOKUP($D139,'Modelling New'!$D:$D,'Modelling New'!$J:$J),"")</f>
        <v>6.8666666666666671</v>
      </c>
      <c r="AD139" s="123">
        <f>IFERROR(_xlfn.XLOOKUP($D139,'Modelling New'!$D:$D,'Modelling New'!$T:$T)*1000,"")</f>
        <v>616013.63346204848</v>
      </c>
      <c r="AE139" s="140"/>
      <c r="AF139" s="140">
        <f>IFERROR(_xlfn.XLOOKUP($D139,'Modelling New'!$D:$D,'Modelling New'!$W:$W),"")</f>
        <v>0.3290671118921199</v>
      </c>
      <c r="AG139" s="140">
        <f>IFERROR(_xlfn.XLOOKUP($D139,'Modelling New'!$D:$D,'Modelling New'!$AE:$AE),"")</f>
        <v>0.96029999999999993</v>
      </c>
      <c r="AH139" s="140">
        <f>IFERROR(_xlfn.XLOOKUP($D139,'Modelling New'!$D:$D,'Modelling New'!$AF:$AF),"")</f>
        <v>0.995</v>
      </c>
      <c r="AI139" s="121">
        <f>IFERROR(_xlfn.XLOOKUP($A139,Input_Raw!$A:$A,Input_Raw!$DE:$DE),"")</f>
        <v>0</v>
      </c>
      <c r="AJ139" s="121"/>
      <c r="AK139" s="121"/>
      <c r="AL139" s="121"/>
      <c r="AM139" s="121"/>
      <c r="AN139" s="142">
        <f>IFERROR(_xlfn.XLOOKUP($A139,Input_Raw!$A:$A,Input_Raw!$DB:$DB),"")</f>
        <v>0</v>
      </c>
      <c r="AO139" s="140" t="str">
        <f>IFERROR((_xlfn.XLOOKUP($A139,'WTG Reactive Power'!$A:$A,'WTG Reactive Power'!$AR:$AR))/X139/1000,"")</f>
        <v/>
      </c>
      <c r="AP139" s="140">
        <f>IFERROR(_xlfn.XLOOKUP($D139,'Modelling New'!$D:$D,'Modelling New'!$AK:$AK),"")</f>
        <v>0.05</v>
      </c>
      <c r="AQ139" s="140">
        <f>IFERROR(_xlfn.XLOOKUP($D139,'Modelling New'!$D:$D,'Modelling New'!$AL:$AL),"")</f>
        <v>0.05</v>
      </c>
      <c r="AR139">
        <f>IFERROR(_xlfn.XLOOKUP($D139,'Modelling New'!$D:$D,'Modelling New'!$N:$N),"")</f>
        <v>78</v>
      </c>
    </row>
    <row r="140" spans="1:44">
      <c r="A140" s="134">
        <f t="shared" si="11"/>
        <v>45883</v>
      </c>
      <c r="B140" s="123">
        <f>YEAR(Table13[[#This Row],[Date]])+IF(MONTH(Table13[[#This Row],[Date]])&gt;=4,1,0)</f>
        <v>2026</v>
      </c>
      <c r="C140" s="121">
        <f>YEAR(Table13[[#This Row],[Date]])</f>
        <v>2025</v>
      </c>
      <c r="D140" s="135">
        <f>Table13[[#This Row],[Date]]-DAY(Table13[[#This Row],[Date]])+1</f>
        <v>45870</v>
      </c>
      <c r="E140" s="121">
        <f t="shared" si="8"/>
        <v>31</v>
      </c>
      <c r="F140" s="124"/>
      <c r="G140" s="125"/>
      <c r="H140" s="125"/>
      <c r="I140" s="125"/>
      <c r="J140" s="125"/>
      <c r="K140" s="136"/>
      <c r="L140" s="125"/>
      <c r="M140" s="125" t="str">
        <f>IFERROR(_xlfn.XLOOKUP($A140,Input_Raw!$A:$A,Input_Raw!CG:CG),"")</f>
        <v/>
      </c>
      <c r="N140" s="125">
        <f>IFERROR(_xlfn.XLOOKUP($A140,Input_Raw!$A:$A,Input_Raw!CH:CH),"")</f>
        <v>0</v>
      </c>
      <c r="O140" s="137" t="str">
        <f t="shared" si="10"/>
        <v/>
      </c>
      <c r="P140" s="137" t="str">
        <f>IFERROR(1-SUMIF(WTG_BD!$F:$F,$A140,WTG_BD!$AA:$AA)/($AA140+SUMIF(WTG_BD!$F:$F,$A140,WTG_BD!$AA:$AA)),"")</f>
        <v/>
      </c>
      <c r="Q140" s="138" t="str">
        <f>IFERROR(1-SUMIF(IGA_BD!$F:$F,$A140,IGA_BD!$V:$V)/($AA140+SUMIF(IGA_BD!$F:$F,$A140,IGA_BD!$V:$V)),"")</f>
        <v/>
      </c>
      <c r="R140" s="143" t="str">
        <f>IFERROR(1-SUMIF(Grid_BD!$F:$F,$A140,Grid_BD!$X:$X)/($AA140+SUMIF(Grid_BD!$F:$F,$A140,Grid_BD!$X:$X)),"")</f>
        <v/>
      </c>
      <c r="S140" s="121"/>
      <c r="T140" s="138"/>
      <c r="U140" s="139"/>
      <c r="V140" s="121"/>
      <c r="W140" s="140">
        <f>IFERROR(Table13[[#This Row],[Mtr_Net_Exp (KWh)]]/(24*AR140*1000),"")</f>
        <v>0</v>
      </c>
      <c r="X140" s="121">
        <f>IFERROR(_xlfn.XLOOKUP($A140,Input_Raw!$A:$A,Input_Raw!$CF:$CF),"")</f>
        <v>0</v>
      </c>
      <c r="Y140" s="121">
        <f>IFERROR(_xlfn.XLOOKUP($A140,Input_Raw!$A:$A,Input_Raw!$CZ:$CZ),"")</f>
        <v>0</v>
      </c>
      <c r="Z140" s="121">
        <f>IFERROR(_xlfn.XLOOKUP($A140,Input_Raw!$A:$A,Input_Raw!$DA:$DA),"")</f>
        <v>0</v>
      </c>
      <c r="AA140" s="123">
        <f t="shared" si="9"/>
        <v>0</v>
      </c>
      <c r="AB140" s="121">
        <f>IFERROR(_xlfn.XLOOKUP($A140,Input_Raw!$A:$A,Input_Raw!$DG:$DG),"")</f>
        <v>0</v>
      </c>
      <c r="AC140" s="141">
        <f>IFERROR(_xlfn.XLOOKUP($D140,'Modelling New'!$D:$D,'Modelling New'!$J:$J),"")</f>
        <v>6.8666666666666671</v>
      </c>
      <c r="AD140" s="123">
        <f>IFERROR(_xlfn.XLOOKUP($D140,'Modelling New'!$D:$D,'Modelling New'!$T:$T)*1000,"")</f>
        <v>616013.63346204848</v>
      </c>
      <c r="AE140" s="140"/>
      <c r="AF140" s="140">
        <f>IFERROR(_xlfn.XLOOKUP($D140,'Modelling New'!$D:$D,'Modelling New'!$W:$W),"")</f>
        <v>0.3290671118921199</v>
      </c>
      <c r="AG140" s="140">
        <f>IFERROR(_xlfn.XLOOKUP($D140,'Modelling New'!$D:$D,'Modelling New'!$AE:$AE),"")</f>
        <v>0.96029999999999993</v>
      </c>
      <c r="AH140" s="140">
        <f>IFERROR(_xlfn.XLOOKUP($D140,'Modelling New'!$D:$D,'Modelling New'!$AF:$AF),"")</f>
        <v>0.995</v>
      </c>
      <c r="AI140" s="121">
        <f>IFERROR(_xlfn.XLOOKUP($A140,Input_Raw!$A:$A,Input_Raw!$DE:$DE),"")</f>
        <v>0</v>
      </c>
      <c r="AJ140" s="121"/>
      <c r="AK140" s="121"/>
      <c r="AL140" s="121"/>
      <c r="AM140" s="121"/>
      <c r="AN140" s="142">
        <f>IFERROR(_xlfn.XLOOKUP($A140,Input_Raw!$A:$A,Input_Raw!$DB:$DB),"")</f>
        <v>0</v>
      </c>
      <c r="AO140" s="140" t="str">
        <f>IFERROR((_xlfn.XLOOKUP($A140,'WTG Reactive Power'!$A:$A,'WTG Reactive Power'!$AR:$AR))/X140/1000,"")</f>
        <v/>
      </c>
      <c r="AP140" s="140">
        <f>IFERROR(_xlfn.XLOOKUP($D140,'Modelling New'!$D:$D,'Modelling New'!$AK:$AK),"")</f>
        <v>0.05</v>
      </c>
      <c r="AQ140" s="140">
        <f>IFERROR(_xlfn.XLOOKUP($D140,'Modelling New'!$D:$D,'Modelling New'!$AL:$AL),"")</f>
        <v>0.05</v>
      </c>
      <c r="AR140">
        <f>IFERROR(_xlfn.XLOOKUP($D140,'Modelling New'!$D:$D,'Modelling New'!$N:$N),"")</f>
        <v>78</v>
      </c>
    </row>
    <row r="141" spans="1:44">
      <c r="A141" s="134">
        <f t="shared" si="11"/>
        <v>45884</v>
      </c>
      <c r="B141" s="123">
        <f>YEAR(Table13[[#This Row],[Date]])+IF(MONTH(Table13[[#This Row],[Date]])&gt;=4,1,0)</f>
        <v>2026</v>
      </c>
      <c r="C141" s="121">
        <f>YEAR(Table13[[#This Row],[Date]])</f>
        <v>2025</v>
      </c>
      <c r="D141" s="135">
        <f>Table13[[#This Row],[Date]]-DAY(Table13[[#This Row],[Date]])+1</f>
        <v>45870</v>
      </c>
      <c r="E141" s="121">
        <f t="shared" si="8"/>
        <v>31</v>
      </c>
      <c r="F141" s="124"/>
      <c r="G141" s="125"/>
      <c r="H141" s="125"/>
      <c r="I141" s="125"/>
      <c r="J141" s="125"/>
      <c r="K141" s="136"/>
      <c r="L141" s="125"/>
      <c r="M141" s="125" t="str">
        <f>IFERROR(_xlfn.XLOOKUP($A141,Input_Raw!$A:$A,Input_Raw!CG:CG),"")</f>
        <v/>
      </c>
      <c r="N141" s="125">
        <f>IFERROR(_xlfn.XLOOKUP($A141,Input_Raw!$A:$A,Input_Raw!CH:CH),"")</f>
        <v>0</v>
      </c>
      <c r="O141" s="137" t="str">
        <f t="shared" si="10"/>
        <v/>
      </c>
      <c r="P141" s="137" t="str">
        <f>IFERROR(1-SUMIF(WTG_BD!$F:$F,$A141,WTG_BD!$AA:$AA)/($AA141+SUMIF(WTG_BD!$F:$F,$A141,WTG_BD!$AA:$AA)),"")</f>
        <v/>
      </c>
      <c r="Q141" s="138" t="str">
        <f>IFERROR(1-SUMIF(IGA_BD!$F:$F,$A141,IGA_BD!$V:$V)/($AA141+SUMIF(IGA_BD!$F:$F,$A141,IGA_BD!$V:$V)),"")</f>
        <v/>
      </c>
      <c r="R141" s="143" t="str">
        <f>IFERROR(1-SUMIF(Grid_BD!$F:$F,$A141,Grid_BD!$X:$X)/($AA141+SUMIF(Grid_BD!$F:$F,$A141,Grid_BD!$X:$X)),"")</f>
        <v/>
      </c>
      <c r="S141" s="121"/>
      <c r="T141" s="138"/>
      <c r="U141" s="139"/>
      <c r="V141" s="121"/>
      <c r="W141" s="140">
        <f>IFERROR(Table13[[#This Row],[Mtr_Net_Exp (KWh)]]/(24*AR141*1000),"")</f>
        <v>0</v>
      </c>
      <c r="X141" s="121">
        <f>IFERROR(_xlfn.XLOOKUP($A141,Input_Raw!$A:$A,Input_Raw!$CF:$CF),"")</f>
        <v>0</v>
      </c>
      <c r="Y141" s="121">
        <f>IFERROR(_xlfn.XLOOKUP($A141,Input_Raw!$A:$A,Input_Raw!$CZ:$CZ),"")</f>
        <v>0</v>
      </c>
      <c r="Z141" s="121">
        <f>IFERROR(_xlfn.XLOOKUP($A141,Input_Raw!$A:$A,Input_Raw!$DA:$DA),"")</f>
        <v>0</v>
      </c>
      <c r="AA141" s="123">
        <f t="shared" si="9"/>
        <v>0</v>
      </c>
      <c r="AB141" s="121">
        <f>IFERROR(_xlfn.XLOOKUP($A141,Input_Raw!$A:$A,Input_Raw!$DG:$DG),"")</f>
        <v>0</v>
      </c>
      <c r="AC141" s="141">
        <f>IFERROR(_xlfn.XLOOKUP($D141,'Modelling New'!$D:$D,'Modelling New'!$J:$J),"")</f>
        <v>6.8666666666666671</v>
      </c>
      <c r="AD141" s="123">
        <f>IFERROR(_xlfn.XLOOKUP($D141,'Modelling New'!$D:$D,'Modelling New'!$T:$T)*1000,"")</f>
        <v>616013.63346204848</v>
      </c>
      <c r="AE141" s="140"/>
      <c r="AF141" s="140">
        <f>IFERROR(_xlfn.XLOOKUP($D141,'Modelling New'!$D:$D,'Modelling New'!$W:$W),"")</f>
        <v>0.3290671118921199</v>
      </c>
      <c r="AG141" s="140">
        <f>IFERROR(_xlfn.XLOOKUP($D141,'Modelling New'!$D:$D,'Modelling New'!$AE:$AE),"")</f>
        <v>0.96029999999999993</v>
      </c>
      <c r="AH141" s="140">
        <f>IFERROR(_xlfn.XLOOKUP($D141,'Modelling New'!$D:$D,'Modelling New'!$AF:$AF),"")</f>
        <v>0.995</v>
      </c>
      <c r="AI141" s="121">
        <f>IFERROR(_xlfn.XLOOKUP($A141,Input_Raw!$A:$A,Input_Raw!$DE:$DE),"")</f>
        <v>0</v>
      </c>
      <c r="AJ141" s="121"/>
      <c r="AK141" s="121"/>
      <c r="AL141" s="121"/>
      <c r="AM141" s="121"/>
      <c r="AN141" s="142">
        <f>IFERROR(_xlfn.XLOOKUP($A141,Input_Raw!$A:$A,Input_Raw!$DB:$DB),"")</f>
        <v>0</v>
      </c>
      <c r="AO141" s="140" t="str">
        <f>IFERROR((_xlfn.XLOOKUP($A141,'WTG Reactive Power'!$A:$A,'WTG Reactive Power'!$AR:$AR))/X141/1000,"")</f>
        <v/>
      </c>
      <c r="AP141" s="140">
        <f>IFERROR(_xlfn.XLOOKUP($D141,'Modelling New'!$D:$D,'Modelling New'!$AK:$AK),"")</f>
        <v>0.05</v>
      </c>
      <c r="AQ141" s="140">
        <f>IFERROR(_xlfn.XLOOKUP($D141,'Modelling New'!$D:$D,'Modelling New'!$AL:$AL),"")</f>
        <v>0.05</v>
      </c>
      <c r="AR141">
        <f>IFERROR(_xlfn.XLOOKUP($D141,'Modelling New'!$D:$D,'Modelling New'!$N:$N),"")</f>
        <v>78</v>
      </c>
    </row>
    <row r="142" spans="1:44">
      <c r="A142" s="134">
        <f t="shared" si="11"/>
        <v>45885</v>
      </c>
      <c r="B142" s="123">
        <f>YEAR(Table13[[#This Row],[Date]])+IF(MONTH(Table13[[#This Row],[Date]])&gt;=4,1,0)</f>
        <v>2026</v>
      </c>
      <c r="C142" s="121">
        <f>YEAR(Table13[[#This Row],[Date]])</f>
        <v>2025</v>
      </c>
      <c r="D142" s="135">
        <f>Table13[[#This Row],[Date]]-DAY(Table13[[#This Row],[Date]])+1</f>
        <v>45870</v>
      </c>
      <c r="E142" s="121">
        <f t="shared" si="8"/>
        <v>31</v>
      </c>
      <c r="F142" s="124"/>
      <c r="G142" s="125"/>
      <c r="H142" s="125"/>
      <c r="I142" s="125"/>
      <c r="J142" s="125"/>
      <c r="K142" s="136"/>
      <c r="L142" s="125"/>
      <c r="M142" s="125" t="str">
        <f>IFERROR(_xlfn.XLOOKUP($A142,Input_Raw!$A:$A,Input_Raw!CG:CG),"")</f>
        <v/>
      </c>
      <c r="N142" s="125" t="str">
        <f>IFERROR(_xlfn.XLOOKUP($A142,Input_Raw!$A:$A,Input_Raw!CH:CH),"")</f>
        <v/>
      </c>
      <c r="O142" s="137" t="str">
        <f t="shared" si="10"/>
        <v/>
      </c>
      <c r="P142" s="137" t="str">
        <f>IFERROR(1-SUMIF(WTG_BD!$F:$F,$A142,WTG_BD!$AA:$AA)/($AA142+SUMIF(WTG_BD!$F:$F,$A142,WTG_BD!$AA:$AA)),"")</f>
        <v/>
      </c>
      <c r="Q142" s="138" t="str">
        <f>IFERROR(1-SUMIF(IGA_BD!$F:$F,$A142,IGA_BD!$V:$V)/($AA142+SUMIF(IGA_BD!$F:$F,$A142,IGA_BD!$V:$V)),"")</f>
        <v/>
      </c>
      <c r="R142" s="143" t="str">
        <f>IFERROR(1-SUMIF(Grid_BD!$F:$F,$A142,Grid_BD!$X:$X)/($AA142+SUMIF(Grid_BD!$F:$F,$A142,Grid_BD!$X:$X)),"")</f>
        <v/>
      </c>
      <c r="S142" s="121"/>
      <c r="T142" s="138"/>
      <c r="U142" s="139"/>
      <c r="V142" s="121"/>
      <c r="W142" s="140" t="str">
        <f>IFERROR(Table13[[#This Row],[Mtr_Net_Exp (KWh)]]/(24*AR142*1000),"")</f>
        <v/>
      </c>
      <c r="X142" s="121" t="str">
        <f>IFERROR(_xlfn.XLOOKUP($A142,Input_Raw!$A:$A,Input_Raw!$CF:$CF),"")</f>
        <v/>
      </c>
      <c r="Y142" s="121" t="str">
        <f>IFERROR(_xlfn.XLOOKUP($A142,Input_Raw!$A:$A,Input_Raw!$CZ:$CZ),"")</f>
        <v/>
      </c>
      <c r="Z142" s="121" t="str">
        <f>IFERROR(_xlfn.XLOOKUP($A142,Input_Raw!$A:$A,Input_Raw!$DA:$DA),"")</f>
        <v/>
      </c>
      <c r="AA142" s="123" t="str">
        <f t="shared" si="9"/>
        <v/>
      </c>
      <c r="AB142" s="121" t="str">
        <f>IFERROR(_xlfn.XLOOKUP($A142,Input_Raw!$A:$A,Input_Raw!$DG:$DG),"")</f>
        <v/>
      </c>
      <c r="AC142" s="141">
        <f>IFERROR(_xlfn.XLOOKUP($D142,'Modelling New'!$D:$D,'Modelling New'!$J:$J),"")</f>
        <v>6.8666666666666671</v>
      </c>
      <c r="AD142" s="123">
        <f>IFERROR(_xlfn.XLOOKUP($D142,'Modelling New'!$D:$D,'Modelling New'!$T:$T)*1000,"")</f>
        <v>616013.63346204848</v>
      </c>
      <c r="AE142" s="140"/>
      <c r="AF142" s="140">
        <f>IFERROR(_xlfn.XLOOKUP($D142,'Modelling New'!$D:$D,'Modelling New'!$W:$W),"")</f>
        <v>0.3290671118921199</v>
      </c>
      <c r="AG142" s="140">
        <f>IFERROR(_xlfn.XLOOKUP($D142,'Modelling New'!$D:$D,'Modelling New'!$AE:$AE),"")</f>
        <v>0.96029999999999993</v>
      </c>
      <c r="AH142" s="140">
        <f>IFERROR(_xlfn.XLOOKUP($D142,'Modelling New'!$D:$D,'Modelling New'!$AF:$AF),"")</f>
        <v>0.995</v>
      </c>
      <c r="AI142" s="121" t="str">
        <f>IFERROR(_xlfn.XLOOKUP($A142,Input_Raw!$A:$A,Input_Raw!$DE:$DE),"")</f>
        <v/>
      </c>
      <c r="AJ142" s="121"/>
      <c r="AK142" s="121"/>
      <c r="AL142" s="121"/>
      <c r="AM142" s="121"/>
      <c r="AN142" s="142" t="str">
        <f>IFERROR(_xlfn.XLOOKUP($A142,Input_Raw!$A:$A,Input_Raw!$DB:$DB),"")</f>
        <v/>
      </c>
      <c r="AO142" s="140" t="str">
        <f>IFERROR((_xlfn.XLOOKUP($A142,'WTG Reactive Power'!$A:$A,'WTG Reactive Power'!$AR:$AR))/X142/1000,"")</f>
        <v/>
      </c>
      <c r="AP142" s="140">
        <f>IFERROR(_xlfn.XLOOKUP($D142,'Modelling New'!$D:$D,'Modelling New'!$AK:$AK),"")</f>
        <v>0.05</v>
      </c>
      <c r="AQ142" s="140">
        <f>IFERROR(_xlfn.XLOOKUP($D142,'Modelling New'!$D:$D,'Modelling New'!$AL:$AL),"")</f>
        <v>0.05</v>
      </c>
      <c r="AR142">
        <f>IFERROR(_xlfn.XLOOKUP($D142,'Modelling New'!$D:$D,'Modelling New'!$N:$N),"")</f>
        <v>78</v>
      </c>
    </row>
    <row r="143" spans="1:44">
      <c r="A143" s="134">
        <f t="shared" si="11"/>
        <v>45886</v>
      </c>
      <c r="B143" s="123">
        <f>YEAR(Table13[[#This Row],[Date]])+IF(MONTH(Table13[[#This Row],[Date]])&gt;=4,1,0)</f>
        <v>2026</v>
      </c>
      <c r="C143" s="121">
        <f>YEAR(Table13[[#This Row],[Date]])</f>
        <v>2025</v>
      </c>
      <c r="D143" s="135">
        <f>Table13[[#This Row],[Date]]-DAY(Table13[[#This Row],[Date]])+1</f>
        <v>45870</v>
      </c>
      <c r="E143" s="121">
        <f t="shared" si="8"/>
        <v>31</v>
      </c>
      <c r="F143" s="124"/>
      <c r="G143" s="125"/>
      <c r="H143" s="125"/>
      <c r="I143" s="125"/>
      <c r="J143" s="125"/>
      <c r="K143" s="136"/>
      <c r="L143" s="125"/>
      <c r="M143" s="125" t="str">
        <f>IFERROR(_xlfn.XLOOKUP($A143,Input_Raw!$A:$A,Input_Raw!CG:CG),"")</f>
        <v/>
      </c>
      <c r="N143" s="125" t="str">
        <f>IFERROR(_xlfn.XLOOKUP($A143,Input_Raw!$A:$A,Input_Raw!CH:CH),"")</f>
        <v/>
      </c>
      <c r="O143" s="137" t="str">
        <f t="shared" si="10"/>
        <v/>
      </c>
      <c r="P143" s="137" t="str">
        <f>IFERROR(1-SUMIF(WTG_BD!$F:$F,$A143,WTG_BD!$AA:$AA)/($AA143+SUMIF(WTG_BD!$F:$F,$A143,WTG_BD!$AA:$AA)),"")</f>
        <v/>
      </c>
      <c r="Q143" s="138" t="str">
        <f>IFERROR(1-SUMIF(IGA_BD!$F:$F,$A143,IGA_BD!$V:$V)/($AA143+SUMIF(IGA_BD!$F:$F,$A143,IGA_BD!$V:$V)),"")</f>
        <v/>
      </c>
      <c r="R143" s="143" t="str">
        <f>IFERROR(1-SUMIF(Grid_BD!$F:$F,$A143,Grid_BD!$X:$X)/($AA143+SUMIF(Grid_BD!$F:$F,$A143,Grid_BD!$X:$X)),"")</f>
        <v/>
      </c>
      <c r="S143" s="121"/>
      <c r="T143" s="138"/>
      <c r="U143" s="139"/>
      <c r="V143" s="121"/>
      <c r="W143" s="140" t="str">
        <f>IFERROR(Table13[[#This Row],[Mtr_Net_Exp (KWh)]]/(24*AR143*1000),"")</f>
        <v/>
      </c>
      <c r="X143" s="121" t="str">
        <f>IFERROR(_xlfn.XLOOKUP($A143,Input_Raw!$A:$A,Input_Raw!$CF:$CF),"")</f>
        <v/>
      </c>
      <c r="Y143" s="121" t="str">
        <f>IFERROR(_xlfn.XLOOKUP($A143,Input_Raw!$A:$A,Input_Raw!$CZ:$CZ),"")</f>
        <v/>
      </c>
      <c r="Z143" s="121" t="str">
        <f>IFERROR(_xlfn.XLOOKUP($A143,Input_Raw!$A:$A,Input_Raw!$DA:$DA),"")</f>
        <v/>
      </c>
      <c r="AA143" s="123" t="str">
        <f t="shared" si="9"/>
        <v/>
      </c>
      <c r="AB143" s="121" t="str">
        <f>IFERROR(_xlfn.XLOOKUP($A143,Input_Raw!$A:$A,Input_Raw!$DG:$DG),"")</f>
        <v/>
      </c>
      <c r="AC143" s="141">
        <f>IFERROR(_xlfn.XLOOKUP($D143,'Modelling New'!$D:$D,'Modelling New'!$J:$J),"")</f>
        <v>6.8666666666666671</v>
      </c>
      <c r="AD143" s="123">
        <f>IFERROR(_xlfn.XLOOKUP($D143,'Modelling New'!$D:$D,'Modelling New'!$T:$T)*1000,"")</f>
        <v>616013.63346204848</v>
      </c>
      <c r="AE143" s="140"/>
      <c r="AF143" s="140">
        <f>IFERROR(_xlfn.XLOOKUP($D143,'Modelling New'!$D:$D,'Modelling New'!$W:$W),"")</f>
        <v>0.3290671118921199</v>
      </c>
      <c r="AG143" s="140">
        <f>IFERROR(_xlfn.XLOOKUP($D143,'Modelling New'!$D:$D,'Modelling New'!$AE:$AE),"")</f>
        <v>0.96029999999999993</v>
      </c>
      <c r="AH143" s="140">
        <f>IFERROR(_xlfn.XLOOKUP($D143,'Modelling New'!$D:$D,'Modelling New'!$AF:$AF),"")</f>
        <v>0.995</v>
      </c>
      <c r="AI143" s="121" t="str">
        <f>IFERROR(_xlfn.XLOOKUP($A143,Input_Raw!$A:$A,Input_Raw!$DE:$DE),"")</f>
        <v/>
      </c>
      <c r="AJ143" s="121"/>
      <c r="AK143" s="121"/>
      <c r="AL143" s="121"/>
      <c r="AM143" s="121"/>
      <c r="AN143" s="142" t="str">
        <f>IFERROR(_xlfn.XLOOKUP($A143,Input_Raw!$A:$A,Input_Raw!$DB:$DB),"")</f>
        <v/>
      </c>
      <c r="AO143" s="140" t="str">
        <f>IFERROR((_xlfn.XLOOKUP($A143,'WTG Reactive Power'!$A:$A,'WTG Reactive Power'!$AR:$AR))/X143/1000,"")</f>
        <v/>
      </c>
      <c r="AP143" s="140">
        <f>IFERROR(_xlfn.XLOOKUP($D143,'Modelling New'!$D:$D,'Modelling New'!$AK:$AK),"")</f>
        <v>0.05</v>
      </c>
      <c r="AQ143" s="140">
        <f>IFERROR(_xlfn.XLOOKUP($D143,'Modelling New'!$D:$D,'Modelling New'!$AL:$AL),"")</f>
        <v>0.05</v>
      </c>
      <c r="AR143">
        <f>IFERROR(_xlfn.XLOOKUP($D143,'Modelling New'!$D:$D,'Modelling New'!$N:$N),"")</f>
        <v>78</v>
      </c>
    </row>
    <row r="144" spans="1:44">
      <c r="A144" s="134">
        <f t="shared" si="11"/>
        <v>45887</v>
      </c>
      <c r="B144" s="123">
        <f>YEAR(Table13[[#This Row],[Date]])+IF(MONTH(Table13[[#This Row],[Date]])&gt;=4,1,0)</f>
        <v>2026</v>
      </c>
      <c r="C144" s="121">
        <f>YEAR(Table13[[#This Row],[Date]])</f>
        <v>2025</v>
      </c>
      <c r="D144" s="135">
        <f>Table13[[#This Row],[Date]]-DAY(Table13[[#This Row],[Date]])+1</f>
        <v>45870</v>
      </c>
      <c r="E144" s="121">
        <f t="shared" si="8"/>
        <v>31</v>
      </c>
      <c r="F144" s="124"/>
      <c r="G144" s="125"/>
      <c r="H144" s="125"/>
      <c r="I144" s="125"/>
      <c r="J144" s="125"/>
      <c r="K144" s="136"/>
      <c r="L144" s="125"/>
      <c r="M144" s="125" t="str">
        <f>IFERROR(_xlfn.XLOOKUP($A144,Input_Raw!$A:$A,Input_Raw!CG:CG),"")</f>
        <v/>
      </c>
      <c r="N144" s="125" t="str">
        <f>IFERROR(_xlfn.XLOOKUP($A144,Input_Raw!$A:$A,Input_Raw!CH:CH),"")</f>
        <v/>
      </c>
      <c r="O144" s="137" t="str">
        <f t="shared" si="10"/>
        <v/>
      </c>
      <c r="P144" s="137" t="str">
        <f>IFERROR(1-SUMIF(WTG_BD!$F:$F,$A144,WTG_BD!$AA:$AA)/($AA144+SUMIF(WTG_BD!$F:$F,$A144,WTG_BD!$AA:$AA)),"")</f>
        <v/>
      </c>
      <c r="Q144" s="138" t="str">
        <f>IFERROR(1-SUMIF(IGA_BD!$F:$F,$A144,IGA_BD!$V:$V)/($AA144+SUMIF(IGA_BD!$F:$F,$A144,IGA_BD!$V:$V)),"")</f>
        <v/>
      </c>
      <c r="R144" s="143" t="str">
        <f>IFERROR(1-SUMIF(Grid_BD!$F:$F,$A144,Grid_BD!$X:$X)/($AA144+SUMIF(Grid_BD!$F:$F,$A144,Grid_BD!$X:$X)),"")</f>
        <v/>
      </c>
      <c r="S144" s="121"/>
      <c r="T144" s="138"/>
      <c r="U144" s="139"/>
      <c r="V144" s="121"/>
      <c r="W144" s="140" t="str">
        <f>IFERROR(Table13[[#This Row],[Mtr_Net_Exp (KWh)]]/(24*AR144*1000),"")</f>
        <v/>
      </c>
      <c r="X144" s="121" t="str">
        <f>IFERROR(_xlfn.XLOOKUP($A144,Input_Raw!$A:$A,Input_Raw!$CF:$CF),"")</f>
        <v/>
      </c>
      <c r="Y144" s="121" t="str">
        <f>IFERROR(_xlfn.XLOOKUP($A144,Input_Raw!$A:$A,Input_Raw!$CZ:$CZ),"")</f>
        <v/>
      </c>
      <c r="Z144" s="121" t="str">
        <f>IFERROR(_xlfn.XLOOKUP($A144,Input_Raw!$A:$A,Input_Raw!$DA:$DA),"")</f>
        <v/>
      </c>
      <c r="AA144" s="123" t="str">
        <f t="shared" si="9"/>
        <v/>
      </c>
      <c r="AB144" s="121" t="str">
        <f>IFERROR(_xlfn.XLOOKUP($A144,Input_Raw!$A:$A,Input_Raw!$DG:$DG),"")</f>
        <v/>
      </c>
      <c r="AC144" s="141">
        <f>IFERROR(_xlfn.XLOOKUP($D144,'Modelling New'!$D:$D,'Modelling New'!$J:$J),"")</f>
        <v>6.8666666666666671</v>
      </c>
      <c r="AD144" s="123">
        <f>IFERROR(_xlfn.XLOOKUP($D144,'Modelling New'!$D:$D,'Modelling New'!$T:$T)*1000,"")</f>
        <v>616013.63346204848</v>
      </c>
      <c r="AE144" s="140"/>
      <c r="AF144" s="140">
        <f>IFERROR(_xlfn.XLOOKUP($D144,'Modelling New'!$D:$D,'Modelling New'!$W:$W),"")</f>
        <v>0.3290671118921199</v>
      </c>
      <c r="AG144" s="140">
        <f>IFERROR(_xlfn.XLOOKUP($D144,'Modelling New'!$D:$D,'Modelling New'!$AE:$AE),"")</f>
        <v>0.96029999999999993</v>
      </c>
      <c r="AH144" s="140">
        <f>IFERROR(_xlfn.XLOOKUP($D144,'Modelling New'!$D:$D,'Modelling New'!$AF:$AF),"")</f>
        <v>0.995</v>
      </c>
      <c r="AI144" s="121" t="str">
        <f>IFERROR(_xlfn.XLOOKUP($A144,Input_Raw!$A:$A,Input_Raw!$DE:$DE),"")</f>
        <v/>
      </c>
      <c r="AJ144" s="121"/>
      <c r="AK144" s="121"/>
      <c r="AL144" s="121"/>
      <c r="AM144" s="121"/>
      <c r="AN144" s="142" t="str">
        <f>IFERROR(_xlfn.XLOOKUP($A144,Input_Raw!$A:$A,Input_Raw!$DB:$DB),"")</f>
        <v/>
      </c>
      <c r="AO144" s="140" t="str">
        <f>IFERROR((_xlfn.XLOOKUP($A144,'WTG Reactive Power'!$A:$A,'WTG Reactive Power'!$AR:$AR))/X144/1000,"")</f>
        <v/>
      </c>
      <c r="AP144" s="140">
        <f>IFERROR(_xlfn.XLOOKUP($D144,'Modelling New'!$D:$D,'Modelling New'!$AK:$AK),"")</f>
        <v>0.05</v>
      </c>
      <c r="AQ144" s="140">
        <f>IFERROR(_xlfn.XLOOKUP($D144,'Modelling New'!$D:$D,'Modelling New'!$AL:$AL),"")</f>
        <v>0.05</v>
      </c>
      <c r="AR144">
        <f>IFERROR(_xlfn.XLOOKUP($D144,'Modelling New'!$D:$D,'Modelling New'!$N:$N),"")</f>
        <v>78</v>
      </c>
    </row>
    <row r="145" spans="1:44">
      <c r="A145" s="134">
        <f t="shared" si="11"/>
        <v>45888</v>
      </c>
      <c r="B145" s="123">
        <f>YEAR(Table13[[#This Row],[Date]])+IF(MONTH(Table13[[#This Row],[Date]])&gt;=4,1,0)</f>
        <v>2026</v>
      </c>
      <c r="C145" s="121">
        <f>YEAR(Table13[[#This Row],[Date]])</f>
        <v>2025</v>
      </c>
      <c r="D145" s="135">
        <f>Table13[[#This Row],[Date]]-DAY(Table13[[#This Row],[Date]])+1</f>
        <v>45870</v>
      </c>
      <c r="E145" s="121">
        <f t="shared" si="8"/>
        <v>31</v>
      </c>
      <c r="F145" s="124"/>
      <c r="G145" s="125"/>
      <c r="H145" s="125"/>
      <c r="I145" s="125"/>
      <c r="J145" s="125"/>
      <c r="K145" s="136"/>
      <c r="L145" s="125"/>
      <c r="M145" s="125" t="str">
        <f>IFERROR(_xlfn.XLOOKUP($A145,Input_Raw!$A:$A,Input_Raw!CG:CG),"")</f>
        <v/>
      </c>
      <c r="N145" s="125" t="str">
        <f>IFERROR(_xlfn.XLOOKUP($A145,Input_Raw!$A:$A,Input_Raw!CH:CH),"")</f>
        <v/>
      </c>
      <c r="O145" s="137" t="str">
        <f t="shared" si="10"/>
        <v/>
      </c>
      <c r="P145" s="137" t="str">
        <f>IFERROR(1-SUMIF(WTG_BD!$F:$F,$A145,WTG_BD!$AA:$AA)/($AA145+SUMIF(WTG_BD!$F:$F,$A145,WTG_BD!$AA:$AA)),"")</f>
        <v/>
      </c>
      <c r="Q145" s="138" t="str">
        <f>IFERROR(1-SUMIF(IGA_BD!$F:$F,$A145,IGA_BD!$V:$V)/($AA145+SUMIF(IGA_BD!$F:$F,$A145,IGA_BD!$V:$V)),"")</f>
        <v/>
      </c>
      <c r="R145" s="143" t="str">
        <f>IFERROR(1-SUMIF(Grid_BD!$F:$F,$A145,Grid_BD!$X:$X)/($AA145+SUMIF(Grid_BD!$F:$F,$A145,Grid_BD!$X:$X)),"")</f>
        <v/>
      </c>
      <c r="S145" s="121"/>
      <c r="T145" s="138"/>
      <c r="U145" s="139"/>
      <c r="V145" s="121"/>
      <c r="W145" s="140" t="str">
        <f>IFERROR(Table13[[#This Row],[Mtr_Net_Exp (KWh)]]/(24*AR145*1000),"")</f>
        <v/>
      </c>
      <c r="X145" s="121" t="str">
        <f>IFERROR(_xlfn.XLOOKUP($A145,Input_Raw!$A:$A,Input_Raw!$CF:$CF),"")</f>
        <v/>
      </c>
      <c r="Y145" s="121" t="str">
        <f>IFERROR(_xlfn.XLOOKUP($A145,Input_Raw!$A:$A,Input_Raw!$CZ:$CZ),"")</f>
        <v/>
      </c>
      <c r="Z145" s="121" t="str">
        <f>IFERROR(_xlfn.XLOOKUP($A145,Input_Raw!$A:$A,Input_Raw!$DA:$DA),"")</f>
        <v/>
      </c>
      <c r="AA145" s="123" t="str">
        <f t="shared" si="9"/>
        <v/>
      </c>
      <c r="AB145" s="121" t="str">
        <f>IFERROR(_xlfn.XLOOKUP($A145,Input_Raw!$A:$A,Input_Raw!$DG:$DG),"")</f>
        <v/>
      </c>
      <c r="AC145" s="141">
        <f>IFERROR(_xlfn.XLOOKUP($D145,'Modelling New'!$D:$D,'Modelling New'!$J:$J),"")</f>
        <v>6.8666666666666671</v>
      </c>
      <c r="AD145" s="123">
        <f>IFERROR(_xlfn.XLOOKUP($D145,'Modelling New'!$D:$D,'Modelling New'!$T:$T)*1000,"")</f>
        <v>616013.63346204848</v>
      </c>
      <c r="AE145" s="140"/>
      <c r="AF145" s="140">
        <f>IFERROR(_xlfn.XLOOKUP($D145,'Modelling New'!$D:$D,'Modelling New'!$W:$W),"")</f>
        <v>0.3290671118921199</v>
      </c>
      <c r="AG145" s="140">
        <f>IFERROR(_xlfn.XLOOKUP($D145,'Modelling New'!$D:$D,'Modelling New'!$AE:$AE),"")</f>
        <v>0.96029999999999993</v>
      </c>
      <c r="AH145" s="140">
        <f>IFERROR(_xlfn.XLOOKUP($D145,'Modelling New'!$D:$D,'Modelling New'!$AF:$AF),"")</f>
        <v>0.995</v>
      </c>
      <c r="AI145" s="121" t="str">
        <f>IFERROR(_xlfn.XLOOKUP($A145,Input_Raw!$A:$A,Input_Raw!$DE:$DE),"")</f>
        <v/>
      </c>
      <c r="AJ145" s="121"/>
      <c r="AK145" s="121"/>
      <c r="AL145" s="121"/>
      <c r="AM145" s="121"/>
      <c r="AN145" s="142" t="str">
        <f>IFERROR(_xlfn.XLOOKUP($A145,Input_Raw!$A:$A,Input_Raw!$DB:$DB),"")</f>
        <v/>
      </c>
      <c r="AO145" s="140" t="str">
        <f>IFERROR((_xlfn.XLOOKUP($A145,'WTG Reactive Power'!$A:$A,'WTG Reactive Power'!$AR:$AR))/X145/1000,"")</f>
        <v/>
      </c>
      <c r="AP145" s="140">
        <f>IFERROR(_xlfn.XLOOKUP($D145,'Modelling New'!$D:$D,'Modelling New'!$AK:$AK),"")</f>
        <v>0.05</v>
      </c>
      <c r="AQ145" s="140">
        <f>IFERROR(_xlfn.XLOOKUP($D145,'Modelling New'!$D:$D,'Modelling New'!$AL:$AL),"")</f>
        <v>0.05</v>
      </c>
      <c r="AR145">
        <f>IFERROR(_xlfn.XLOOKUP($D145,'Modelling New'!$D:$D,'Modelling New'!$N:$N),"")</f>
        <v>78</v>
      </c>
    </row>
    <row r="146" spans="1:44">
      <c r="A146" s="134">
        <f t="shared" si="11"/>
        <v>45889</v>
      </c>
      <c r="B146" s="123">
        <f>YEAR(Table13[[#This Row],[Date]])+IF(MONTH(Table13[[#This Row],[Date]])&gt;=4,1,0)</f>
        <v>2026</v>
      </c>
      <c r="C146" s="121">
        <f>YEAR(Table13[[#This Row],[Date]])</f>
        <v>2025</v>
      </c>
      <c r="D146" s="135">
        <f>Table13[[#This Row],[Date]]-DAY(Table13[[#This Row],[Date]])+1</f>
        <v>45870</v>
      </c>
      <c r="E146" s="121">
        <f t="shared" si="8"/>
        <v>31</v>
      </c>
      <c r="F146" s="124"/>
      <c r="G146" s="125"/>
      <c r="H146" s="125"/>
      <c r="I146" s="125"/>
      <c r="J146" s="125"/>
      <c r="K146" s="136"/>
      <c r="L146" s="125"/>
      <c r="M146" s="125" t="str">
        <f>IFERROR(_xlfn.XLOOKUP($A146,Input_Raw!$A:$A,Input_Raw!CG:CG),"")</f>
        <v/>
      </c>
      <c r="N146" s="125" t="str">
        <f>IFERROR(_xlfn.XLOOKUP($A146,Input_Raw!$A:$A,Input_Raw!CH:CH),"")</f>
        <v/>
      </c>
      <c r="O146" s="137" t="str">
        <f t="shared" si="10"/>
        <v/>
      </c>
      <c r="P146" s="137" t="str">
        <f>IFERROR(1-SUMIF(WTG_BD!$F:$F,$A146,WTG_BD!$AA:$AA)/($AA146+SUMIF(WTG_BD!$F:$F,$A146,WTG_BD!$AA:$AA)),"")</f>
        <v/>
      </c>
      <c r="Q146" s="138" t="str">
        <f>IFERROR(1-SUMIF(IGA_BD!$F:$F,$A146,IGA_BD!$V:$V)/($AA146+SUMIF(IGA_BD!$F:$F,$A146,IGA_BD!$V:$V)),"")</f>
        <v/>
      </c>
      <c r="R146" s="143" t="str">
        <f>IFERROR(1-SUMIF(Grid_BD!$F:$F,$A146,Grid_BD!$X:$X)/($AA146+SUMIF(Grid_BD!$F:$F,$A146,Grid_BD!$X:$X)),"")</f>
        <v/>
      </c>
      <c r="S146" s="121"/>
      <c r="T146" s="138"/>
      <c r="U146" s="139"/>
      <c r="V146" s="121"/>
      <c r="W146" s="140" t="str">
        <f>IFERROR(Table13[[#This Row],[Mtr_Net_Exp (KWh)]]/(24*AR146*1000),"")</f>
        <v/>
      </c>
      <c r="X146" s="121" t="str">
        <f>IFERROR(_xlfn.XLOOKUP($A146,Input_Raw!$A:$A,Input_Raw!$CF:$CF),"")</f>
        <v/>
      </c>
      <c r="Y146" s="121" t="str">
        <f>IFERROR(_xlfn.XLOOKUP($A146,Input_Raw!$A:$A,Input_Raw!$CZ:$CZ),"")</f>
        <v/>
      </c>
      <c r="Z146" s="121" t="str">
        <f>IFERROR(_xlfn.XLOOKUP($A146,Input_Raw!$A:$A,Input_Raw!$DA:$DA),"")</f>
        <v/>
      </c>
      <c r="AA146" s="123" t="str">
        <f t="shared" si="9"/>
        <v/>
      </c>
      <c r="AB146" s="121" t="str">
        <f>IFERROR(_xlfn.XLOOKUP($A146,Input_Raw!$A:$A,Input_Raw!$DG:$DG),"")</f>
        <v/>
      </c>
      <c r="AC146" s="141">
        <f>IFERROR(_xlfn.XLOOKUP($D146,'Modelling New'!$D:$D,'Modelling New'!$J:$J),"")</f>
        <v>6.8666666666666671</v>
      </c>
      <c r="AD146" s="123">
        <f>IFERROR(_xlfn.XLOOKUP($D146,'Modelling New'!$D:$D,'Modelling New'!$T:$T)*1000,"")</f>
        <v>616013.63346204848</v>
      </c>
      <c r="AE146" s="140"/>
      <c r="AF146" s="140">
        <f>IFERROR(_xlfn.XLOOKUP($D146,'Modelling New'!$D:$D,'Modelling New'!$W:$W),"")</f>
        <v>0.3290671118921199</v>
      </c>
      <c r="AG146" s="140">
        <f>IFERROR(_xlfn.XLOOKUP($D146,'Modelling New'!$D:$D,'Modelling New'!$AE:$AE),"")</f>
        <v>0.96029999999999993</v>
      </c>
      <c r="AH146" s="140">
        <f>IFERROR(_xlfn.XLOOKUP($D146,'Modelling New'!$D:$D,'Modelling New'!$AF:$AF),"")</f>
        <v>0.995</v>
      </c>
      <c r="AI146" s="121" t="str">
        <f>IFERROR(_xlfn.XLOOKUP($A146,Input_Raw!$A:$A,Input_Raw!$DE:$DE),"")</f>
        <v/>
      </c>
      <c r="AJ146" s="121"/>
      <c r="AK146" s="121"/>
      <c r="AL146" s="121"/>
      <c r="AM146" s="121"/>
      <c r="AN146" s="142" t="str">
        <f>IFERROR(_xlfn.XLOOKUP($A146,Input_Raw!$A:$A,Input_Raw!$DB:$DB),"")</f>
        <v/>
      </c>
      <c r="AO146" s="140" t="str">
        <f>IFERROR((_xlfn.XLOOKUP($A146,'WTG Reactive Power'!$A:$A,'WTG Reactive Power'!$AR:$AR))/X146/1000,"")</f>
        <v/>
      </c>
      <c r="AP146" s="140">
        <f>IFERROR(_xlfn.XLOOKUP($D146,'Modelling New'!$D:$D,'Modelling New'!$AK:$AK),"")</f>
        <v>0.05</v>
      </c>
      <c r="AQ146" s="140">
        <f>IFERROR(_xlfn.XLOOKUP($D146,'Modelling New'!$D:$D,'Modelling New'!$AL:$AL),"")</f>
        <v>0.05</v>
      </c>
      <c r="AR146">
        <f>IFERROR(_xlfn.XLOOKUP($D146,'Modelling New'!$D:$D,'Modelling New'!$N:$N),"")</f>
        <v>78</v>
      </c>
    </row>
    <row r="147" spans="1:44">
      <c r="A147" s="134">
        <f t="shared" si="11"/>
        <v>45890</v>
      </c>
      <c r="B147" s="123">
        <f>YEAR(Table13[[#This Row],[Date]])+IF(MONTH(Table13[[#This Row],[Date]])&gt;=4,1,0)</f>
        <v>2026</v>
      </c>
      <c r="C147" s="121">
        <f>YEAR(Table13[[#This Row],[Date]])</f>
        <v>2025</v>
      </c>
      <c r="D147" s="135">
        <f>Table13[[#This Row],[Date]]-DAY(Table13[[#This Row],[Date]])+1</f>
        <v>45870</v>
      </c>
      <c r="E147" s="121">
        <f t="shared" si="8"/>
        <v>31</v>
      </c>
      <c r="F147" s="124"/>
      <c r="G147" s="125"/>
      <c r="H147" s="125"/>
      <c r="I147" s="125"/>
      <c r="J147" s="125"/>
      <c r="K147" s="136"/>
      <c r="L147" s="125"/>
      <c r="M147" s="125" t="str">
        <f>IFERROR(_xlfn.XLOOKUP($A147,Input_Raw!$A:$A,Input_Raw!CG:CG),"")</f>
        <v/>
      </c>
      <c r="N147" s="125" t="str">
        <f>IFERROR(_xlfn.XLOOKUP($A147,Input_Raw!$A:$A,Input_Raw!CH:CH),"")</f>
        <v/>
      </c>
      <c r="O147" s="137" t="str">
        <f t="shared" si="10"/>
        <v/>
      </c>
      <c r="P147" s="137" t="str">
        <f>IFERROR(1-SUMIF(WTG_BD!$F:$F,$A147,WTG_BD!$AA:$AA)/($AA147+SUMIF(WTG_BD!$F:$F,$A147,WTG_BD!$AA:$AA)),"")</f>
        <v/>
      </c>
      <c r="Q147" s="138" t="str">
        <f>IFERROR(1-SUMIF(IGA_BD!$F:$F,$A147,IGA_BD!$V:$V)/($AA147+SUMIF(IGA_BD!$F:$F,$A147,IGA_BD!$V:$V)),"")</f>
        <v/>
      </c>
      <c r="R147" s="143" t="str">
        <f>IFERROR(1-SUMIF(Grid_BD!$F:$F,$A147,Grid_BD!$X:$X)/($AA147+SUMIF(Grid_BD!$F:$F,$A147,Grid_BD!$X:$X)),"")</f>
        <v/>
      </c>
      <c r="S147" s="121"/>
      <c r="T147" s="138"/>
      <c r="U147" s="139"/>
      <c r="V147" s="121"/>
      <c r="W147" s="140" t="str">
        <f>IFERROR(Table13[[#This Row],[Mtr_Net_Exp (KWh)]]/(24*AR147*1000),"")</f>
        <v/>
      </c>
      <c r="X147" s="121" t="str">
        <f>IFERROR(_xlfn.XLOOKUP($A147,Input_Raw!$A:$A,Input_Raw!$CF:$CF),"")</f>
        <v/>
      </c>
      <c r="Y147" s="121" t="str">
        <f>IFERROR(_xlfn.XLOOKUP($A147,Input_Raw!$A:$A,Input_Raw!$CZ:$CZ),"")</f>
        <v/>
      </c>
      <c r="Z147" s="121" t="str">
        <f>IFERROR(_xlfn.XLOOKUP($A147,Input_Raw!$A:$A,Input_Raw!$DA:$DA),"")</f>
        <v/>
      </c>
      <c r="AA147" s="123" t="str">
        <f t="shared" si="9"/>
        <v/>
      </c>
      <c r="AB147" s="121" t="str">
        <f>IFERROR(_xlfn.XLOOKUP($A147,Input_Raw!$A:$A,Input_Raw!$DG:$DG),"")</f>
        <v/>
      </c>
      <c r="AC147" s="141">
        <f>IFERROR(_xlfn.XLOOKUP($D147,'Modelling New'!$D:$D,'Modelling New'!$J:$J),"")</f>
        <v>6.8666666666666671</v>
      </c>
      <c r="AD147" s="123">
        <f>IFERROR(_xlfn.XLOOKUP($D147,'Modelling New'!$D:$D,'Modelling New'!$T:$T)*1000,"")</f>
        <v>616013.63346204848</v>
      </c>
      <c r="AE147" s="140"/>
      <c r="AF147" s="140">
        <f>IFERROR(_xlfn.XLOOKUP($D147,'Modelling New'!$D:$D,'Modelling New'!$W:$W),"")</f>
        <v>0.3290671118921199</v>
      </c>
      <c r="AG147" s="140">
        <f>IFERROR(_xlfn.XLOOKUP($D147,'Modelling New'!$D:$D,'Modelling New'!$AE:$AE),"")</f>
        <v>0.96029999999999993</v>
      </c>
      <c r="AH147" s="140">
        <f>IFERROR(_xlfn.XLOOKUP($D147,'Modelling New'!$D:$D,'Modelling New'!$AF:$AF),"")</f>
        <v>0.995</v>
      </c>
      <c r="AI147" s="121" t="str">
        <f>IFERROR(_xlfn.XLOOKUP($A147,Input_Raw!$A:$A,Input_Raw!$DE:$DE),"")</f>
        <v/>
      </c>
      <c r="AJ147" s="121"/>
      <c r="AK147" s="121"/>
      <c r="AL147" s="121"/>
      <c r="AM147" s="121"/>
      <c r="AN147" s="142" t="str">
        <f>IFERROR(_xlfn.XLOOKUP($A147,Input_Raw!$A:$A,Input_Raw!$DB:$DB),"")</f>
        <v/>
      </c>
      <c r="AO147" s="140" t="str">
        <f>IFERROR((_xlfn.XLOOKUP($A147,'WTG Reactive Power'!$A:$A,'WTG Reactive Power'!$AR:$AR))/X147/1000,"")</f>
        <v/>
      </c>
      <c r="AP147" s="140">
        <f>IFERROR(_xlfn.XLOOKUP($D147,'Modelling New'!$D:$D,'Modelling New'!$AK:$AK),"")</f>
        <v>0.05</v>
      </c>
      <c r="AQ147" s="140">
        <f>IFERROR(_xlfn.XLOOKUP($D147,'Modelling New'!$D:$D,'Modelling New'!$AL:$AL),"")</f>
        <v>0.05</v>
      </c>
      <c r="AR147">
        <f>IFERROR(_xlfn.XLOOKUP($D147,'Modelling New'!$D:$D,'Modelling New'!$N:$N),"")</f>
        <v>78</v>
      </c>
    </row>
    <row r="148" spans="1:44">
      <c r="A148" s="134">
        <f t="shared" si="11"/>
        <v>45891</v>
      </c>
      <c r="B148" s="123">
        <f>YEAR(Table13[[#This Row],[Date]])+IF(MONTH(Table13[[#This Row],[Date]])&gt;=4,1,0)</f>
        <v>2026</v>
      </c>
      <c r="C148" s="121">
        <f>YEAR(Table13[[#This Row],[Date]])</f>
        <v>2025</v>
      </c>
      <c r="D148" s="135">
        <f>Table13[[#This Row],[Date]]-DAY(Table13[[#This Row],[Date]])+1</f>
        <v>45870</v>
      </c>
      <c r="E148" s="121">
        <f t="shared" si="8"/>
        <v>31</v>
      </c>
      <c r="F148" s="124"/>
      <c r="G148" s="125"/>
      <c r="H148" s="125"/>
      <c r="I148" s="125"/>
      <c r="J148" s="125"/>
      <c r="K148" s="136"/>
      <c r="L148" s="125"/>
      <c r="M148" s="125" t="str">
        <f>IFERROR(_xlfn.XLOOKUP($A148,Input_Raw!$A:$A,Input_Raw!CG:CG),"")</f>
        <v/>
      </c>
      <c r="N148" s="125" t="str">
        <f>IFERROR(_xlfn.XLOOKUP($A148,Input_Raw!$A:$A,Input_Raw!CH:CH),"")</f>
        <v/>
      </c>
      <c r="O148" s="137" t="str">
        <f t="shared" si="10"/>
        <v/>
      </c>
      <c r="P148" s="137" t="str">
        <f>IFERROR(1-SUMIF(WTG_BD!$F:$F,$A148,WTG_BD!$AA:$AA)/($AA148+SUMIF(WTG_BD!$F:$F,$A148,WTG_BD!$AA:$AA)),"")</f>
        <v/>
      </c>
      <c r="Q148" s="138" t="str">
        <f>IFERROR(1-SUMIF(IGA_BD!$F:$F,$A148,IGA_BD!$V:$V)/($AA148+SUMIF(IGA_BD!$F:$F,$A148,IGA_BD!$V:$V)),"")</f>
        <v/>
      </c>
      <c r="R148" s="143" t="str">
        <f>IFERROR(1-SUMIF(Grid_BD!$F:$F,$A148,Grid_BD!$X:$X)/($AA148+SUMIF(Grid_BD!$F:$F,$A148,Grid_BD!$X:$X)),"")</f>
        <v/>
      </c>
      <c r="S148" s="121"/>
      <c r="T148" s="138"/>
      <c r="U148" s="139"/>
      <c r="V148" s="121"/>
      <c r="W148" s="140" t="str">
        <f>IFERROR(Table13[[#This Row],[Mtr_Net_Exp (KWh)]]/(24*AR148*1000),"")</f>
        <v/>
      </c>
      <c r="X148" s="121" t="str">
        <f>IFERROR(_xlfn.XLOOKUP($A148,Input_Raw!$A:$A,Input_Raw!$CF:$CF),"")</f>
        <v/>
      </c>
      <c r="Y148" s="121" t="str">
        <f>IFERROR(_xlfn.XLOOKUP($A148,Input_Raw!$A:$A,Input_Raw!$CZ:$CZ),"")</f>
        <v/>
      </c>
      <c r="Z148" s="121" t="str">
        <f>IFERROR(_xlfn.XLOOKUP($A148,Input_Raw!$A:$A,Input_Raw!$DA:$DA),"")</f>
        <v/>
      </c>
      <c r="AA148" s="123" t="str">
        <f t="shared" si="9"/>
        <v/>
      </c>
      <c r="AB148" s="121" t="str">
        <f>IFERROR(_xlfn.XLOOKUP($A148,Input_Raw!$A:$A,Input_Raw!$DG:$DG),"")</f>
        <v/>
      </c>
      <c r="AC148" s="141">
        <f>IFERROR(_xlfn.XLOOKUP($D148,'Modelling New'!$D:$D,'Modelling New'!$J:$J),"")</f>
        <v>6.8666666666666671</v>
      </c>
      <c r="AD148" s="123">
        <f>IFERROR(_xlfn.XLOOKUP($D148,'Modelling New'!$D:$D,'Modelling New'!$T:$T)*1000,"")</f>
        <v>616013.63346204848</v>
      </c>
      <c r="AE148" s="140"/>
      <c r="AF148" s="140">
        <f>IFERROR(_xlfn.XLOOKUP($D148,'Modelling New'!$D:$D,'Modelling New'!$W:$W),"")</f>
        <v>0.3290671118921199</v>
      </c>
      <c r="AG148" s="140">
        <f>IFERROR(_xlfn.XLOOKUP($D148,'Modelling New'!$D:$D,'Modelling New'!$AE:$AE),"")</f>
        <v>0.96029999999999993</v>
      </c>
      <c r="AH148" s="140">
        <f>IFERROR(_xlfn.XLOOKUP($D148,'Modelling New'!$D:$D,'Modelling New'!$AF:$AF),"")</f>
        <v>0.995</v>
      </c>
      <c r="AI148" s="121" t="str">
        <f>IFERROR(_xlfn.XLOOKUP($A148,Input_Raw!$A:$A,Input_Raw!$DE:$DE),"")</f>
        <v/>
      </c>
      <c r="AJ148" s="121"/>
      <c r="AK148" s="121"/>
      <c r="AL148" s="121"/>
      <c r="AM148" s="121"/>
      <c r="AN148" s="142" t="str">
        <f>IFERROR(_xlfn.XLOOKUP($A148,Input_Raw!$A:$A,Input_Raw!$DB:$DB),"")</f>
        <v/>
      </c>
      <c r="AO148" s="140" t="str">
        <f>IFERROR((_xlfn.XLOOKUP($A148,'WTG Reactive Power'!$A:$A,'WTG Reactive Power'!$AR:$AR))/X148/1000,"")</f>
        <v/>
      </c>
      <c r="AP148" s="140">
        <f>IFERROR(_xlfn.XLOOKUP($D148,'Modelling New'!$D:$D,'Modelling New'!$AK:$AK),"")</f>
        <v>0.05</v>
      </c>
      <c r="AQ148" s="140">
        <f>IFERROR(_xlfn.XLOOKUP($D148,'Modelling New'!$D:$D,'Modelling New'!$AL:$AL),"")</f>
        <v>0.05</v>
      </c>
      <c r="AR148">
        <f>IFERROR(_xlfn.XLOOKUP($D148,'Modelling New'!$D:$D,'Modelling New'!$N:$N),"")</f>
        <v>78</v>
      </c>
    </row>
    <row r="149" spans="1:44">
      <c r="A149" s="134">
        <f t="shared" si="11"/>
        <v>45892</v>
      </c>
      <c r="B149" s="123">
        <f>YEAR(Table13[[#This Row],[Date]])+IF(MONTH(Table13[[#This Row],[Date]])&gt;=4,1,0)</f>
        <v>2026</v>
      </c>
      <c r="C149" s="121">
        <f>YEAR(Table13[[#This Row],[Date]])</f>
        <v>2025</v>
      </c>
      <c r="D149" s="135">
        <f>Table13[[#This Row],[Date]]-DAY(Table13[[#This Row],[Date]])+1</f>
        <v>45870</v>
      </c>
      <c r="E149" s="121">
        <f t="shared" si="8"/>
        <v>31</v>
      </c>
      <c r="F149" s="124"/>
      <c r="G149" s="125"/>
      <c r="H149" s="125"/>
      <c r="I149" s="125"/>
      <c r="J149" s="125"/>
      <c r="K149" s="136"/>
      <c r="L149" s="125"/>
      <c r="M149" s="125" t="str">
        <f>IFERROR(_xlfn.XLOOKUP($A149,Input_Raw!$A:$A,Input_Raw!CG:CG),"")</f>
        <v/>
      </c>
      <c r="N149" s="125" t="str">
        <f>IFERROR(_xlfn.XLOOKUP($A149,Input_Raw!$A:$A,Input_Raw!CH:CH),"")</f>
        <v/>
      </c>
      <c r="O149" s="137" t="str">
        <f t="shared" si="10"/>
        <v/>
      </c>
      <c r="P149" s="137" t="str">
        <f>IFERROR(1-SUMIF(WTG_BD!$F:$F,$A149,WTG_BD!$AA:$AA)/($AA149+SUMIF(WTG_BD!$F:$F,$A149,WTG_BD!$AA:$AA)),"")</f>
        <v/>
      </c>
      <c r="Q149" s="138" t="str">
        <f>IFERROR(1-SUMIF(IGA_BD!$F:$F,$A149,IGA_BD!$V:$V)/($AA149+SUMIF(IGA_BD!$F:$F,$A149,IGA_BD!$V:$V)),"")</f>
        <v/>
      </c>
      <c r="R149" s="143" t="str">
        <f>IFERROR(1-SUMIF(Grid_BD!$F:$F,$A149,Grid_BD!$X:$X)/($AA149+SUMIF(Grid_BD!$F:$F,$A149,Grid_BD!$X:$X)),"")</f>
        <v/>
      </c>
      <c r="S149" s="121"/>
      <c r="T149" s="138"/>
      <c r="U149" s="139"/>
      <c r="V149" s="121"/>
      <c r="W149" s="140" t="str">
        <f>IFERROR(Table13[[#This Row],[Mtr_Net_Exp (KWh)]]/(24*AR149*1000),"")</f>
        <v/>
      </c>
      <c r="X149" s="121" t="str">
        <f>IFERROR(_xlfn.XLOOKUP($A149,Input_Raw!$A:$A,Input_Raw!$CF:$CF),"")</f>
        <v/>
      </c>
      <c r="Y149" s="121" t="str">
        <f>IFERROR(_xlfn.XLOOKUP($A149,Input_Raw!$A:$A,Input_Raw!$CZ:$CZ),"")</f>
        <v/>
      </c>
      <c r="Z149" s="121" t="str">
        <f>IFERROR(_xlfn.XLOOKUP($A149,Input_Raw!$A:$A,Input_Raw!$DA:$DA),"")</f>
        <v/>
      </c>
      <c r="AA149" s="123" t="str">
        <f t="shared" si="9"/>
        <v/>
      </c>
      <c r="AB149" s="121" t="str">
        <f>IFERROR(_xlfn.XLOOKUP($A149,Input_Raw!$A:$A,Input_Raw!$DG:$DG),"")</f>
        <v/>
      </c>
      <c r="AC149" s="141">
        <f>IFERROR(_xlfn.XLOOKUP($D149,'Modelling New'!$D:$D,'Modelling New'!$J:$J),"")</f>
        <v>6.8666666666666671</v>
      </c>
      <c r="AD149" s="123">
        <f>IFERROR(_xlfn.XLOOKUP($D149,'Modelling New'!$D:$D,'Modelling New'!$T:$T)*1000,"")</f>
        <v>616013.63346204848</v>
      </c>
      <c r="AE149" s="140"/>
      <c r="AF149" s="140">
        <f>IFERROR(_xlfn.XLOOKUP($D149,'Modelling New'!$D:$D,'Modelling New'!$W:$W),"")</f>
        <v>0.3290671118921199</v>
      </c>
      <c r="AG149" s="140">
        <f>IFERROR(_xlfn.XLOOKUP($D149,'Modelling New'!$D:$D,'Modelling New'!$AE:$AE),"")</f>
        <v>0.96029999999999993</v>
      </c>
      <c r="AH149" s="140">
        <f>IFERROR(_xlfn.XLOOKUP($D149,'Modelling New'!$D:$D,'Modelling New'!$AF:$AF),"")</f>
        <v>0.995</v>
      </c>
      <c r="AI149" s="121" t="str">
        <f>IFERROR(_xlfn.XLOOKUP($A149,Input_Raw!$A:$A,Input_Raw!$DE:$DE),"")</f>
        <v/>
      </c>
      <c r="AJ149" s="121"/>
      <c r="AK149" s="121"/>
      <c r="AL149" s="121"/>
      <c r="AM149" s="121"/>
      <c r="AN149" s="142" t="str">
        <f>IFERROR(_xlfn.XLOOKUP($A149,Input_Raw!$A:$A,Input_Raw!$DB:$DB),"")</f>
        <v/>
      </c>
      <c r="AO149" s="140" t="str">
        <f>IFERROR((_xlfn.XLOOKUP($A149,'WTG Reactive Power'!$A:$A,'WTG Reactive Power'!$AR:$AR))/X149/1000,"")</f>
        <v/>
      </c>
      <c r="AP149" s="140">
        <f>IFERROR(_xlfn.XLOOKUP($D149,'Modelling New'!$D:$D,'Modelling New'!$AK:$AK),"")</f>
        <v>0.05</v>
      </c>
      <c r="AQ149" s="140">
        <f>IFERROR(_xlfn.XLOOKUP($D149,'Modelling New'!$D:$D,'Modelling New'!$AL:$AL),"")</f>
        <v>0.05</v>
      </c>
      <c r="AR149">
        <f>IFERROR(_xlfn.XLOOKUP($D149,'Modelling New'!$D:$D,'Modelling New'!$N:$N),"")</f>
        <v>78</v>
      </c>
    </row>
    <row r="150" spans="1:44">
      <c r="A150" s="134">
        <f t="shared" si="11"/>
        <v>45893</v>
      </c>
      <c r="B150" s="123">
        <f>YEAR(Table13[[#This Row],[Date]])+IF(MONTH(Table13[[#This Row],[Date]])&gt;=4,1,0)</f>
        <v>2026</v>
      </c>
      <c r="C150" s="121">
        <f>YEAR(Table13[[#This Row],[Date]])</f>
        <v>2025</v>
      </c>
      <c r="D150" s="135">
        <f>Table13[[#This Row],[Date]]-DAY(Table13[[#This Row],[Date]])+1</f>
        <v>45870</v>
      </c>
      <c r="E150" s="121">
        <f t="shared" si="8"/>
        <v>31</v>
      </c>
      <c r="F150" s="124"/>
      <c r="G150" s="125"/>
      <c r="H150" s="125"/>
      <c r="I150" s="125"/>
      <c r="J150" s="125"/>
      <c r="K150" s="136"/>
      <c r="L150" s="125"/>
      <c r="M150" s="125" t="str">
        <f>IFERROR(_xlfn.XLOOKUP($A150,Input_Raw!$A:$A,Input_Raw!CG:CG),"")</f>
        <v/>
      </c>
      <c r="N150" s="125" t="str">
        <f>IFERROR(_xlfn.XLOOKUP($A150,Input_Raw!$A:$A,Input_Raw!CH:CH),"")</f>
        <v/>
      </c>
      <c r="O150" s="137" t="str">
        <f t="shared" si="10"/>
        <v/>
      </c>
      <c r="P150" s="137" t="str">
        <f>IFERROR(1-SUMIF(WTG_BD!$F:$F,$A150,WTG_BD!$AA:$AA)/($AA150+SUMIF(WTG_BD!$F:$F,$A150,WTG_BD!$AA:$AA)),"")</f>
        <v/>
      </c>
      <c r="Q150" s="138" t="str">
        <f>IFERROR(1-SUMIF(IGA_BD!$F:$F,$A150,IGA_BD!$V:$V)/($AA150+SUMIF(IGA_BD!$F:$F,$A150,IGA_BD!$V:$V)),"")</f>
        <v/>
      </c>
      <c r="R150" s="143" t="str">
        <f>IFERROR(1-SUMIF(Grid_BD!$F:$F,$A150,Grid_BD!$X:$X)/($AA150+SUMIF(Grid_BD!$F:$F,$A150,Grid_BD!$X:$X)),"")</f>
        <v/>
      </c>
      <c r="S150" s="121"/>
      <c r="T150" s="138"/>
      <c r="U150" s="139"/>
      <c r="V150" s="121"/>
      <c r="W150" s="140" t="str">
        <f>IFERROR(Table13[[#This Row],[Mtr_Net_Exp (KWh)]]/(24*AR150*1000),"")</f>
        <v/>
      </c>
      <c r="X150" s="121" t="str">
        <f>IFERROR(_xlfn.XLOOKUP($A150,Input_Raw!$A:$A,Input_Raw!$CF:$CF),"")</f>
        <v/>
      </c>
      <c r="Y150" s="121" t="str">
        <f>IFERROR(_xlfn.XLOOKUP($A150,Input_Raw!$A:$A,Input_Raw!$CZ:$CZ),"")</f>
        <v/>
      </c>
      <c r="Z150" s="121" t="str">
        <f>IFERROR(_xlfn.XLOOKUP($A150,Input_Raw!$A:$A,Input_Raw!$DA:$DA),"")</f>
        <v/>
      </c>
      <c r="AA150" s="123" t="str">
        <f t="shared" si="9"/>
        <v/>
      </c>
      <c r="AB150" s="121" t="str">
        <f>IFERROR(_xlfn.XLOOKUP($A150,Input_Raw!$A:$A,Input_Raw!$DG:$DG),"")</f>
        <v/>
      </c>
      <c r="AC150" s="141">
        <f>IFERROR(_xlfn.XLOOKUP($D150,'Modelling New'!$D:$D,'Modelling New'!$J:$J),"")</f>
        <v>6.8666666666666671</v>
      </c>
      <c r="AD150" s="123">
        <f>IFERROR(_xlfn.XLOOKUP($D150,'Modelling New'!$D:$D,'Modelling New'!$T:$T)*1000,"")</f>
        <v>616013.63346204848</v>
      </c>
      <c r="AE150" s="140"/>
      <c r="AF150" s="140">
        <f>IFERROR(_xlfn.XLOOKUP($D150,'Modelling New'!$D:$D,'Modelling New'!$W:$W),"")</f>
        <v>0.3290671118921199</v>
      </c>
      <c r="AG150" s="140">
        <f>IFERROR(_xlfn.XLOOKUP($D150,'Modelling New'!$D:$D,'Modelling New'!$AE:$AE),"")</f>
        <v>0.96029999999999993</v>
      </c>
      <c r="AH150" s="140">
        <f>IFERROR(_xlfn.XLOOKUP($D150,'Modelling New'!$D:$D,'Modelling New'!$AF:$AF),"")</f>
        <v>0.995</v>
      </c>
      <c r="AI150" s="121" t="str">
        <f>IFERROR(_xlfn.XLOOKUP($A150,Input_Raw!$A:$A,Input_Raw!$DE:$DE),"")</f>
        <v/>
      </c>
      <c r="AJ150" s="121"/>
      <c r="AK150" s="121"/>
      <c r="AL150" s="121"/>
      <c r="AM150" s="121"/>
      <c r="AN150" s="142" t="str">
        <f>IFERROR(_xlfn.XLOOKUP($A150,Input_Raw!$A:$A,Input_Raw!$DB:$DB),"")</f>
        <v/>
      </c>
      <c r="AO150" s="140" t="str">
        <f>IFERROR((_xlfn.XLOOKUP($A150,'WTG Reactive Power'!$A:$A,'WTG Reactive Power'!$AR:$AR))/X150/1000,"")</f>
        <v/>
      </c>
      <c r="AP150" s="140">
        <f>IFERROR(_xlfn.XLOOKUP($D150,'Modelling New'!$D:$D,'Modelling New'!$AK:$AK),"")</f>
        <v>0.05</v>
      </c>
      <c r="AQ150" s="140">
        <f>IFERROR(_xlfn.XLOOKUP($D150,'Modelling New'!$D:$D,'Modelling New'!$AL:$AL),"")</f>
        <v>0.05</v>
      </c>
      <c r="AR150">
        <f>IFERROR(_xlfn.XLOOKUP($D150,'Modelling New'!$D:$D,'Modelling New'!$N:$N),"")</f>
        <v>78</v>
      </c>
    </row>
    <row r="151" spans="1:44">
      <c r="A151" s="134">
        <f t="shared" si="11"/>
        <v>45894</v>
      </c>
      <c r="B151" s="123">
        <f>YEAR(Table13[[#This Row],[Date]])+IF(MONTH(Table13[[#This Row],[Date]])&gt;=4,1,0)</f>
        <v>2026</v>
      </c>
      <c r="C151" s="121">
        <f>YEAR(Table13[[#This Row],[Date]])</f>
        <v>2025</v>
      </c>
      <c r="D151" s="135">
        <f>Table13[[#This Row],[Date]]-DAY(Table13[[#This Row],[Date]])+1</f>
        <v>45870</v>
      </c>
      <c r="E151" s="121">
        <f t="shared" si="8"/>
        <v>31</v>
      </c>
      <c r="F151" s="124"/>
      <c r="G151" s="125"/>
      <c r="H151" s="125"/>
      <c r="I151" s="125"/>
      <c r="J151" s="125"/>
      <c r="K151" s="136"/>
      <c r="L151" s="125"/>
      <c r="M151" s="125" t="str">
        <f>IFERROR(_xlfn.XLOOKUP($A151,Input_Raw!$A:$A,Input_Raw!CG:CG),"")</f>
        <v/>
      </c>
      <c r="N151" s="125" t="str">
        <f>IFERROR(_xlfn.XLOOKUP($A151,Input_Raw!$A:$A,Input_Raw!CH:CH),"")</f>
        <v/>
      </c>
      <c r="O151" s="137" t="str">
        <f t="shared" si="10"/>
        <v/>
      </c>
      <c r="P151" s="137" t="str">
        <f>IFERROR(1-SUMIF(WTG_BD!$F:$F,$A151,WTG_BD!$AA:$AA)/($AA151+SUMIF(WTG_BD!$F:$F,$A151,WTG_BD!$AA:$AA)),"")</f>
        <v/>
      </c>
      <c r="Q151" s="138" t="str">
        <f>IFERROR(1-SUMIF(IGA_BD!$F:$F,$A151,IGA_BD!$V:$V)/($AA151+SUMIF(IGA_BD!$F:$F,$A151,IGA_BD!$V:$V)),"")</f>
        <v/>
      </c>
      <c r="R151" s="143" t="str">
        <f>IFERROR(1-SUMIF(Grid_BD!$F:$F,$A151,Grid_BD!$X:$X)/($AA151+SUMIF(Grid_BD!$F:$F,$A151,Grid_BD!$X:$X)),"")</f>
        <v/>
      </c>
      <c r="S151" s="121"/>
      <c r="T151" s="138"/>
      <c r="U151" s="139"/>
      <c r="V151" s="121"/>
      <c r="W151" s="140" t="str">
        <f>IFERROR(Table13[[#This Row],[Mtr_Net_Exp (KWh)]]/(24*AR151*1000),"")</f>
        <v/>
      </c>
      <c r="X151" s="121" t="str">
        <f>IFERROR(_xlfn.XLOOKUP($A151,Input_Raw!$A:$A,Input_Raw!$CF:$CF),"")</f>
        <v/>
      </c>
      <c r="Y151" s="121" t="str">
        <f>IFERROR(_xlfn.XLOOKUP($A151,Input_Raw!$A:$A,Input_Raw!$CZ:$CZ),"")</f>
        <v/>
      </c>
      <c r="Z151" s="121" t="str">
        <f>IFERROR(_xlfn.XLOOKUP($A151,Input_Raw!$A:$A,Input_Raw!$DA:$DA),"")</f>
        <v/>
      </c>
      <c r="AA151" s="123" t="str">
        <f t="shared" si="9"/>
        <v/>
      </c>
      <c r="AB151" s="121" t="str">
        <f>IFERROR(_xlfn.XLOOKUP($A151,Input_Raw!$A:$A,Input_Raw!$DG:$DG),"")</f>
        <v/>
      </c>
      <c r="AC151" s="141">
        <f>IFERROR(_xlfn.XLOOKUP($D151,'Modelling New'!$D:$D,'Modelling New'!$J:$J),"")</f>
        <v>6.8666666666666671</v>
      </c>
      <c r="AD151" s="123">
        <f>IFERROR(_xlfn.XLOOKUP($D151,'Modelling New'!$D:$D,'Modelling New'!$T:$T)*1000,"")</f>
        <v>616013.63346204848</v>
      </c>
      <c r="AE151" s="140"/>
      <c r="AF151" s="140">
        <f>IFERROR(_xlfn.XLOOKUP($D151,'Modelling New'!$D:$D,'Modelling New'!$W:$W),"")</f>
        <v>0.3290671118921199</v>
      </c>
      <c r="AG151" s="140">
        <f>IFERROR(_xlfn.XLOOKUP($D151,'Modelling New'!$D:$D,'Modelling New'!$AE:$AE),"")</f>
        <v>0.96029999999999993</v>
      </c>
      <c r="AH151" s="140">
        <f>IFERROR(_xlfn.XLOOKUP($D151,'Modelling New'!$D:$D,'Modelling New'!$AF:$AF),"")</f>
        <v>0.995</v>
      </c>
      <c r="AI151" s="121" t="str">
        <f>IFERROR(_xlfn.XLOOKUP($A151,Input_Raw!$A:$A,Input_Raw!$DE:$DE),"")</f>
        <v/>
      </c>
      <c r="AJ151" s="121"/>
      <c r="AK151" s="121"/>
      <c r="AL151" s="121"/>
      <c r="AM151" s="121"/>
      <c r="AN151" s="142" t="str">
        <f>IFERROR(_xlfn.XLOOKUP($A151,Input_Raw!$A:$A,Input_Raw!$DB:$DB),"")</f>
        <v/>
      </c>
      <c r="AO151" s="140" t="str">
        <f>IFERROR((_xlfn.XLOOKUP($A151,'WTG Reactive Power'!$A:$A,'WTG Reactive Power'!$AR:$AR))/X151/1000,"")</f>
        <v/>
      </c>
      <c r="AP151" s="140">
        <f>IFERROR(_xlfn.XLOOKUP($D151,'Modelling New'!$D:$D,'Modelling New'!$AK:$AK),"")</f>
        <v>0.05</v>
      </c>
      <c r="AQ151" s="140">
        <f>IFERROR(_xlfn.XLOOKUP($D151,'Modelling New'!$D:$D,'Modelling New'!$AL:$AL),"")</f>
        <v>0.05</v>
      </c>
      <c r="AR151">
        <f>IFERROR(_xlfn.XLOOKUP($D151,'Modelling New'!$D:$D,'Modelling New'!$N:$N),"")</f>
        <v>78</v>
      </c>
    </row>
    <row r="152" spans="1:44">
      <c r="A152" s="134">
        <f t="shared" si="11"/>
        <v>45895</v>
      </c>
      <c r="B152" s="123">
        <f>YEAR(Table13[[#This Row],[Date]])+IF(MONTH(Table13[[#This Row],[Date]])&gt;=4,1,0)</f>
        <v>2026</v>
      </c>
      <c r="C152" s="121">
        <f>YEAR(Table13[[#This Row],[Date]])</f>
        <v>2025</v>
      </c>
      <c r="D152" s="135">
        <f>Table13[[#This Row],[Date]]-DAY(Table13[[#This Row],[Date]])+1</f>
        <v>45870</v>
      </c>
      <c r="E152" s="121">
        <f t="shared" si="8"/>
        <v>31</v>
      </c>
      <c r="F152" s="124"/>
      <c r="G152" s="125"/>
      <c r="H152" s="125"/>
      <c r="I152" s="125"/>
      <c r="J152" s="125"/>
      <c r="K152" s="136"/>
      <c r="L152" s="125"/>
      <c r="M152" s="125" t="str">
        <f>IFERROR(_xlfn.XLOOKUP($A152,Input_Raw!$A:$A,Input_Raw!CG:CG),"")</f>
        <v/>
      </c>
      <c r="N152" s="125" t="str">
        <f>IFERROR(_xlfn.XLOOKUP($A152,Input_Raw!$A:$A,Input_Raw!CH:CH),"")</f>
        <v/>
      </c>
      <c r="O152" s="137" t="str">
        <f t="shared" si="10"/>
        <v/>
      </c>
      <c r="P152" s="137" t="str">
        <f>IFERROR(1-SUMIF(WTG_BD!$F:$F,$A152,WTG_BD!$AA:$AA)/($AA152+SUMIF(WTG_BD!$F:$F,$A152,WTG_BD!$AA:$AA)),"")</f>
        <v/>
      </c>
      <c r="Q152" s="138" t="str">
        <f>IFERROR(1-SUMIF(IGA_BD!$F:$F,$A152,IGA_BD!$V:$V)/($AA152+SUMIF(IGA_BD!$F:$F,$A152,IGA_BD!$V:$V)),"")</f>
        <v/>
      </c>
      <c r="R152" s="143" t="str">
        <f>IFERROR(1-SUMIF(Grid_BD!$F:$F,$A152,Grid_BD!$X:$X)/($AA152+SUMIF(Grid_BD!$F:$F,$A152,Grid_BD!$X:$X)),"")</f>
        <v/>
      </c>
      <c r="S152" s="121"/>
      <c r="T152" s="138"/>
      <c r="U152" s="139"/>
      <c r="V152" s="121"/>
      <c r="W152" s="140" t="str">
        <f>IFERROR(Table13[[#This Row],[Mtr_Net_Exp (KWh)]]/(24*AR152*1000),"")</f>
        <v/>
      </c>
      <c r="X152" s="121" t="str">
        <f>IFERROR(_xlfn.XLOOKUP($A152,Input_Raw!$A:$A,Input_Raw!$CF:$CF),"")</f>
        <v/>
      </c>
      <c r="Y152" s="121" t="str">
        <f>IFERROR(_xlfn.XLOOKUP($A152,Input_Raw!$A:$A,Input_Raw!$CZ:$CZ),"")</f>
        <v/>
      </c>
      <c r="Z152" s="121" t="str">
        <f>IFERROR(_xlfn.XLOOKUP($A152,Input_Raw!$A:$A,Input_Raw!$DA:$DA),"")</f>
        <v/>
      </c>
      <c r="AA152" s="123" t="str">
        <f t="shared" si="9"/>
        <v/>
      </c>
      <c r="AB152" s="121" t="str">
        <f>IFERROR(_xlfn.XLOOKUP($A152,Input_Raw!$A:$A,Input_Raw!$DG:$DG),"")</f>
        <v/>
      </c>
      <c r="AC152" s="141">
        <f>IFERROR(_xlfn.XLOOKUP($D152,'Modelling New'!$D:$D,'Modelling New'!$J:$J),"")</f>
        <v>6.8666666666666671</v>
      </c>
      <c r="AD152" s="123">
        <f>IFERROR(_xlfn.XLOOKUP($D152,'Modelling New'!$D:$D,'Modelling New'!$T:$T)*1000,"")</f>
        <v>616013.63346204848</v>
      </c>
      <c r="AE152" s="140"/>
      <c r="AF152" s="140">
        <f>IFERROR(_xlfn.XLOOKUP($D152,'Modelling New'!$D:$D,'Modelling New'!$W:$W),"")</f>
        <v>0.3290671118921199</v>
      </c>
      <c r="AG152" s="140">
        <f>IFERROR(_xlfn.XLOOKUP($D152,'Modelling New'!$D:$D,'Modelling New'!$AE:$AE),"")</f>
        <v>0.96029999999999993</v>
      </c>
      <c r="AH152" s="140">
        <f>IFERROR(_xlfn.XLOOKUP($D152,'Modelling New'!$D:$D,'Modelling New'!$AF:$AF),"")</f>
        <v>0.995</v>
      </c>
      <c r="AI152" s="121" t="str">
        <f>IFERROR(_xlfn.XLOOKUP($A152,Input_Raw!$A:$A,Input_Raw!$DE:$DE),"")</f>
        <v/>
      </c>
      <c r="AJ152" s="121"/>
      <c r="AK152" s="121"/>
      <c r="AL152" s="121"/>
      <c r="AM152" s="121"/>
      <c r="AN152" s="142" t="str">
        <f>IFERROR(_xlfn.XLOOKUP($A152,Input_Raw!$A:$A,Input_Raw!$DB:$DB),"")</f>
        <v/>
      </c>
      <c r="AO152" s="140" t="str">
        <f>IFERROR((_xlfn.XLOOKUP($A152,'WTG Reactive Power'!$A:$A,'WTG Reactive Power'!$AR:$AR))/X152/1000,"")</f>
        <v/>
      </c>
      <c r="AP152" s="140">
        <f>IFERROR(_xlfn.XLOOKUP($D152,'Modelling New'!$D:$D,'Modelling New'!$AK:$AK),"")</f>
        <v>0.05</v>
      </c>
      <c r="AQ152" s="140">
        <f>IFERROR(_xlfn.XLOOKUP($D152,'Modelling New'!$D:$D,'Modelling New'!$AL:$AL),"")</f>
        <v>0.05</v>
      </c>
      <c r="AR152">
        <f>IFERROR(_xlfn.XLOOKUP($D152,'Modelling New'!$D:$D,'Modelling New'!$N:$N),"")</f>
        <v>78</v>
      </c>
    </row>
    <row r="153" spans="1:44">
      <c r="A153" s="134">
        <f t="shared" si="11"/>
        <v>45896</v>
      </c>
      <c r="B153" s="123">
        <f>YEAR(Table13[[#This Row],[Date]])+IF(MONTH(Table13[[#This Row],[Date]])&gt;=4,1,0)</f>
        <v>2026</v>
      </c>
      <c r="C153" s="121">
        <f>YEAR(Table13[[#This Row],[Date]])</f>
        <v>2025</v>
      </c>
      <c r="D153" s="135">
        <f>Table13[[#This Row],[Date]]-DAY(Table13[[#This Row],[Date]])+1</f>
        <v>45870</v>
      </c>
      <c r="E153" s="121">
        <f t="shared" si="8"/>
        <v>31</v>
      </c>
      <c r="F153" s="124"/>
      <c r="G153" s="125"/>
      <c r="H153" s="125"/>
      <c r="I153" s="125"/>
      <c r="J153" s="125"/>
      <c r="K153" s="136"/>
      <c r="L153" s="125"/>
      <c r="M153" s="125" t="str">
        <f>IFERROR(_xlfn.XLOOKUP($A153,Input_Raw!$A:$A,Input_Raw!CG:CG),"")</f>
        <v/>
      </c>
      <c r="N153" s="125" t="str">
        <f>IFERROR(_xlfn.XLOOKUP($A153,Input_Raw!$A:$A,Input_Raw!CH:CH),"")</f>
        <v/>
      </c>
      <c r="O153" s="137" t="str">
        <f t="shared" si="10"/>
        <v/>
      </c>
      <c r="P153" s="137" t="str">
        <f>IFERROR(1-SUMIF(WTG_BD!$F:$F,$A153,WTG_BD!$AA:$AA)/($AA153+SUMIF(WTG_BD!$F:$F,$A153,WTG_BD!$AA:$AA)),"")</f>
        <v/>
      </c>
      <c r="Q153" s="138" t="str">
        <f>IFERROR(1-SUMIF(IGA_BD!$F:$F,$A153,IGA_BD!$V:$V)/($AA153+SUMIF(IGA_BD!$F:$F,$A153,IGA_BD!$V:$V)),"")</f>
        <v/>
      </c>
      <c r="R153" s="143" t="str">
        <f>IFERROR(1-SUMIF(Grid_BD!$F:$F,$A153,Grid_BD!$X:$X)/($AA153+SUMIF(Grid_BD!$F:$F,$A153,Grid_BD!$X:$X)),"")</f>
        <v/>
      </c>
      <c r="S153" s="121"/>
      <c r="T153" s="138"/>
      <c r="U153" s="139"/>
      <c r="V153" s="121"/>
      <c r="W153" s="140" t="str">
        <f>IFERROR(Table13[[#This Row],[Mtr_Net_Exp (KWh)]]/(24*AR153*1000),"")</f>
        <v/>
      </c>
      <c r="X153" s="121" t="str">
        <f>IFERROR(_xlfn.XLOOKUP($A153,Input_Raw!$A:$A,Input_Raw!$CF:$CF),"")</f>
        <v/>
      </c>
      <c r="Y153" s="121" t="str">
        <f>IFERROR(_xlfn.XLOOKUP($A153,Input_Raw!$A:$A,Input_Raw!$CZ:$CZ),"")</f>
        <v/>
      </c>
      <c r="Z153" s="121" t="str">
        <f>IFERROR(_xlfn.XLOOKUP($A153,Input_Raw!$A:$A,Input_Raw!$DA:$DA),"")</f>
        <v/>
      </c>
      <c r="AA153" s="123" t="str">
        <f t="shared" si="9"/>
        <v/>
      </c>
      <c r="AB153" s="121" t="str">
        <f>IFERROR(_xlfn.XLOOKUP($A153,Input_Raw!$A:$A,Input_Raw!$DG:$DG),"")</f>
        <v/>
      </c>
      <c r="AC153" s="141">
        <f>IFERROR(_xlfn.XLOOKUP($D153,'Modelling New'!$D:$D,'Modelling New'!$J:$J),"")</f>
        <v>6.8666666666666671</v>
      </c>
      <c r="AD153" s="123">
        <f>IFERROR(_xlfn.XLOOKUP($D153,'Modelling New'!$D:$D,'Modelling New'!$T:$T)*1000,"")</f>
        <v>616013.63346204848</v>
      </c>
      <c r="AE153" s="140"/>
      <c r="AF153" s="140">
        <f>IFERROR(_xlfn.XLOOKUP($D153,'Modelling New'!$D:$D,'Modelling New'!$W:$W),"")</f>
        <v>0.3290671118921199</v>
      </c>
      <c r="AG153" s="140">
        <f>IFERROR(_xlfn.XLOOKUP($D153,'Modelling New'!$D:$D,'Modelling New'!$AE:$AE),"")</f>
        <v>0.96029999999999993</v>
      </c>
      <c r="AH153" s="140">
        <f>IFERROR(_xlfn.XLOOKUP($D153,'Modelling New'!$D:$D,'Modelling New'!$AF:$AF),"")</f>
        <v>0.995</v>
      </c>
      <c r="AI153" s="121" t="str">
        <f>IFERROR(_xlfn.XLOOKUP($A153,Input_Raw!$A:$A,Input_Raw!$DE:$DE),"")</f>
        <v/>
      </c>
      <c r="AJ153" s="121"/>
      <c r="AK153" s="121"/>
      <c r="AL153" s="121"/>
      <c r="AM153" s="121"/>
      <c r="AN153" s="142" t="str">
        <f>IFERROR(_xlfn.XLOOKUP($A153,Input_Raw!$A:$A,Input_Raw!$DB:$DB),"")</f>
        <v/>
      </c>
      <c r="AO153" s="140" t="str">
        <f>IFERROR((_xlfn.XLOOKUP($A153,'WTG Reactive Power'!$A:$A,'WTG Reactive Power'!$AR:$AR))/X153/1000,"")</f>
        <v/>
      </c>
      <c r="AP153" s="140">
        <f>IFERROR(_xlfn.XLOOKUP($D153,'Modelling New'!$D:$D,'Modelling New'!$AK:$AK),"")</f>
        <v>0.05</v>
      </c>
      <c r="AQ153" s="140">
        <f>IFERROR(_xlfn.XLOOKUP($D153,'Modelling New'!$D:$D,'Modelling New'!$AL:$AL),"")</f>
        <v>0.05</v>
      </c>
      <c r="AR153">
        <f>IFERROR(_xlfn.XLOOKUP($D153,'Modelling New'!$D:$D,'Modelling New'!$N:$N),"")</f>
        <v>78</v>
      </c>
    </row>
    <row r="154" spans="1:44">
      <c r="A154" s="134">
        <f t="shared" si="11"/>
        <v>45897</v>
      </c>
      <c r="B154" s="123">
        <f>YEAR(Table13[[#This Row],[Date]])+IF(MONTH(Table13[[#This Row],[Date]])&gt;=4,1,0)</f>
        <v>2026</v>
      </c>
      <c r="C154" s="121">
        <f>YEAR(Table13[[#This Row],[Date]])</f>
        <v>2025</v>
      </c>
      <c r="D154" s="135">
        <f>Table13[[#This Row],[Date]]-DAY(Table13[[#This Row],[Date]])+1</f>
        <v>45870</v>
      </c>
      <c r="E154" s="121">
        <f t="shared" si="8"/>
        <v>31</v>
      </c>
      <c r="F154" s="124"/>
      <c r="G154" s="125"/>
      <c r="H154" s="125"/>
      <c r="I154" s="125"/>
      <c r="J154" s="125"/>
      <c r="K154" s="136"/>
      <c r="L154" s="125"/>
      <c r="M154" s="125" t="str">
        <f>IFERROR(_xlfn.XLOOKUP($A154,Input_Raw!$A:$A,Input_Raw!CG:CG),"")</f>
        <v/>
      </c>
      <c r="N154" s="125" t="str">
        <f>IFERROR(_xlfn.XLOOKUP($A154,Input_Raw!$A:$A,Input_Raw!CH:CH),"")</f>
        <v/>
      </c>
      <c r="O154" s="137" t="str">
        <f t="shared" si="10"/>
        <v/>
      </c>
      <c r="P154" s="137" t="str">
        <f>IFERROR(1-SUMIF(WTG_BD!$F:$F,$A154,WTG_BD!$AA:$AA)/($AA154+SUMIF(WTG_BD!$F:$F,$A154,WTG_BD!$AA:$AA)),"")</f>
        <v/>
      </c>
      <c r="Q154" s="138" t="str">
        <f>IFERROR(1-SUMIF(IGA_BD!$F:$F,$A154,IGA_BD!$V:$V)/($AA154+SUMIF(IGA_BD!$F:$F,$A154,IGA_BD!$V:$V)),"")</f>
        <v/>
      </c>
      <c r="R154" s="143" t="str">
        <f>IFERROR(1-SUMIF(Grid_BD!$F:$F,$A154,Grid_BD!$X:$X)/($AA154+SUMIF(Grid_BD!$F:$F,$A154,Grid_BD!$X:$X)),"")</f>
        <v/>
      </c>
      <c r="S154" s="121"/>
      <c r="T154" s="138"/>
      <c r="U154" s="139"/>
      <c r="V154" s="121"/>
      <c r="W154" s="140" t="str">
        <f>IFERROR(Table13[[#This Row],[Mtr_Net_Exp (KWh)]]/(24*AR154*1000),"")</f>
        <v/>
      </c>
      <c r="X154" s="121" t="str">
        <f>IFERROR(_xlfn.XLOOKUP($A154,Input_Raw!$A:$A,Input_Raw!$CF:$CF),"")</f>
        <v/>
      </c>
      <c r="Y154" s="121" t="str">
        <f>IFERROR(_xlfn.XLOOKUP($A154,Input_Raw!$A:$A,Input_Raw!$CZ:$CZ),"")</f>
        <v/>
      </c>
      <c r="Z154" s="121" t="str">
        <f>IFERROR(_xlfn.XLOOKUP($A154,Input_Raw!$A:$A,Input_Raw!$DA:$DA),"")</f>
        <v/>
      </c>
      <c r="AA154" s="123" t="str">
        <f t="shared" si="9"/>
        <v/>
      </c>
      <c r="AB154" s="121" t="str">
        <f>IFERROR(_xlfn.XLOOKUP($A154,Input_Raw!$A:$A,Input_Raw!$DG:$DG),"")</f>
        <v/>
      </c>
      <c r="AC154" s="141">
        <f>IFERROR(_xlfn.XLOOKUP($D154,'Modelling New'!$D:$D,'Modelling New'!$J:$J),"")</f>
        <v>6.8666666666666671</v>
      </c>
      <c r="AD154" s="123">
        <f>IFERROR(_xlfn.XLOOKUP($D154,'Modelling New'!$D:$D,'Modelling New'!$T:$T)*1000,"")</f>
        <v>616013.63346204848</v>
      </c>
      <c r="AE154" s="140"/>
      <c r="AF154" s="140">
        <f>IFERROR(_xlfn.XLOOKUP($D154,'Modelling New'!$D:$D,'Modelling New'!$W:$W),"")</f>
        <v>0.3290671118921199</v>
      </c>
      <c r="AG154" s="140">
        <f>IFERROR(_xlfn.XLOOKUP($D154,'Modelling New'!$D:$D,'Modelling New'!$AE:$AE),"")</f>
        <v>0.96029999999999993</v>
      </c>
      <c r="AH154" s="140">
        <f>IFERROR(_xlfn.XLOOKUP($D154,'Modelling New'!$D:$D,'Modelling New'!$AF:$AF),"")</f>
        <v>0.995</v>
      </c>
      <c r="AI154" s="121" t="str">
        <f>IFERROR(_xlfn.XLOOKUP($A154,Input_Raw!$A:$A,Input_Raw!$DE:$DE),"")</f>
        <v/>
      </c>
      <c r="AJ154" s="121"/>
      <c r="AK154" s="121"/>
      <c r="AL154" s="121"/>
      <c r="AM154" s="121"/>
      <c r="AN154" s="142" t="str">
        <f>IFERROR(_xlfn.XLOOKUP($A154,Input_Raw!$A:$A,Input_Raw!$DB:$DB),"")</f>
        <v/>
      </c>
      <c r="AO154" s="140" t="str">
        <f>IFERROR((_xlfn.XLOOKUP($A154,'WTG Reactive Power'!$A:$A,'WTG Reactive Power'!$AR:$AR))/X154/1000,"")</f>
        <v/>
      </c>
      <c r="AP154" s="140">
        <f>IFERROR(_xlfn.XLOOKUP($D154,'Modelling New'!$D:$D,'Modelling New'!$AK:$AK),"")</f>
        <v>0.05</v>
      </c>
      <c r="AQ154" s="140">
        <f>IFERROR(_xlfn.XLOOKUP($D154,'Modelling New'!$D:$D,'Modelling New'!$AL:$AL),"")</f>
        <v>0.05</v>
      </c>
      <c r="AR154">
        <f>IFERROR(_xlfn.XLOOKUP($D154,'Modelling New'!$D:$D,'Modelling New'!$N:$N),"")</f>
        <v>78</v>
      </c>
    </row>
    <row r="155" spans="1:44">
      <c r="A155" s="134">
        <f t="shared" si="11"/>
        <v>45898</v>
      </c>
      <c r="B155" s="123">
        <f>YEAR(Table13[[#This Row],[Date]])+IF(MONTH(Table13[[#This Row],[Date]])&gt;=4,1,0)</f>
        <v>2026</v>
      </c>
      <c r="C155" s="121">
        <f>YEAR(Table13[[#This Row],[Date]])</f>
        <v>2025</v>
      </c>
      <c r="D155" s="135">
        <f>Table13[[#This Row],[Date]]-DAY(Table13[[#This Row],[Date]])+1</f>
        <v>45870</v>
      </c>
      <c r="E155" s="121">
        <f t="shared" si="8"/>
        <v>31</v>
      </c>
      <c r="F155" s="124"/>
      <c r="G155" s="125"/>
      <c r="H155" s="125"/>
      <c r="I155" s="125"/>
      <c r="J155" s="125"/>
      <c r="K155" s="136"/>
      <c r="L155" s="125"/>
      <c r="M155" s="125" t="str">
        <f>IFERROR(_xlfn.XLOOKUP($A155,Input_Raw!$A:$A,Input_Raw!CG:CG),"")</f>
        <v/>
      </c>
      <c r="N155" s="125" t="str">
        <f>IFERROR(_xlfn.XLOOKUP($A155,Input_Raw!$A:$A,Input_Raw!CH:CH),"")</f>
        <v/>
      </c>
      <c r="O155" s="137" t="str">
        <f t="shared" si="10"/>
        <v/>
      </c>
      <c r="P155" s="137" t="str">
        <f>IFERROR(1-SUMIF(WTG_BD!$F:$F,$A155,WTG_BD!$AA:$AA)/($AA155+SUMIF(WTG_BD!$F:$F,$A155,WTG_BD!$AA:$AA)),"")</f>
        <v/>
      </c>
      <c r="Q155" s="138" t="str">
        <f>IFERROR(1-SUMIF(IGA_BD!$F:$F,$A155,IGA_BD!$V:$V)/($AA155+SUMIF(IGA_BD!$F:$F,$A155,IGA_BD!$V:$V)),"")</f>
        <v/>
      </c>
      <c r="R155" s="143" t="str">
        <f>IFERROR(1-SUMIF(Grid_BD!$F:$F,$A155,Grid_BD!$X:$X)/($AA155+SUMIF(Grid_BD!$F:$F,$A155,Grid_BD!$X:$X)),"")</f>
        <v/>
      </c>
      <c r="S155" s="121"/>
      <c r="T155" s="138"/>
      <c r="U155" s="139"/>
      <c r="V155" s="121"/>
      <c r="W155" s="140" t="str">
        <f>IFERROR(Table13[[#This Row],[Mtr_Net_Exp (KWh)]]/(24*AR155*1000),"")</f>
        <v/>
      </c>
      <c r="X155" s="121" t="str">
        <f>IFERROR(_xlfn.XLOOKUP($A155,Input_Raw!$A:$A,Input_Raw!$CF:$CF),"")</f>
        <v/>
      </c>
      <c r="Y155" s="121" t="str">
        <f>IFERROR(_xlfn.XLOOKUP($A155,Input_Raw!$A:$A,Input_Raw!$CZ:$CZ),"")</f>
        <v/>
      </c>
      <c r="Z155" s="121" t="str">
        <f>IFERROR(_xlfn.XLOOKUP($A155,Input_Raw!$A:$A,Input_Raw!$DA:$DA),"")</f>
        <v/>
      </c>
      <c r="AA155" s="123" t="str">
        <f t="shared" si="9"/>
        <v/>
      </c>
      <c r="AB155" s="121" t="str">
        <f>IFERROR(_xlfn.XLOOKUP($A155,Input_Raw!$A:$A,Input_Raw!$DG:$DG),"")</f>
        <v/>
      </c>
      <c r="AC155" s="141">
        <f>IFERROR(_xlfn.XLOOKUP($D155,'Modelling New'!$D:$D,'Modelling New'!$J:$J),"")</f>
        <v>6.8666666666666671</v>
      </c>
      <c r="AD155" s="123">
        <f>IFERROR(_xlfn.XLOOKUP($D155,'Modelling New'!$D:$D,'Modelling New'!$T:$T)*1000,"")</f>
        <v>616013.63346204848</v>
      </c>
      <c r="AE155" s="140"/>
      <c r="AF155" s="140">
        <f>IFERROR(_xlfn.XLOOKUP($D155,'Modelling New'!$D:$D,'Modelling New'!$W:$W),"")</f>
        <v>0.3290671118921199</v>
      </c>
      <c r="AG155" s="140">
        <f>IFERROR(_xlfn.XLOOKUP($D155,'Modelling New'!$D:$D,'Modelling New'!$AE:$AE),"")</f>
        <v>0.96029999999999993</v>
      </c>
      <c r="AH155" s="140">
        <f>IFERROR(_xlfn.XLOOKUP($D155,'Modelling New'!$D:$D,'Modelling New'!$AF:$AF),"")</f>
        <v>0.995</v>
      </c>
      <c r="AI155" s="121" t="str">
        <f>IFERROR(_xlfn.XLOOKUP($A155,Input_Raw!$A:$A,Input_Raw!$DE:$DE),"")</f>
        <v/>
      </c>
      <c r="AJ155" s="121"/>
      <c r="AK155" s="121"/>
      <c r="AL155" s="121"/>
      <c r="AM155" s="121"/>
      <c r="AN155" s="142" t="str">
        <f>IFERROR(_xlfn.XLOOKUP($A155,Input_Raw!$A:$A,Input_Raw!$DB:$DB),"")</f>
        <v/>
      </c>
      <c r="AO155" s="140" t="str">
        <f>IFERROR((_xlfn.XLOOKUP($A155,'WTG Reactive Power'!$A:$A,'WTG Reactive Power'!$AR:$AR))/X155/1000,"")</f>
        <v/>
      </c>
      <c r="AP155" s="140">
        <f>IFERROR(_xlfn.XLOOKUP($D155,'Modelling New'!$D:$D,'Modelling New'!$AK:$AK),"")</f>
        <v>0.05</v>
      </c>
      <c r="AQ155" s="140">
        <f>IFERROR(_xlfn.XLOOKUP($D155,'Modelling New'!$D:$D,'Modelling New'!$AL:$AL),"")</f>
        <v>0.05</v>
      </c>
      <c r="AR155">
        <f>IFERROR(_xlfn.XLOOKUP($D155,'Modelling New'!$D:$D,'Modelling New'!$N:$N),"")</f>
        <v>78</v>
      </c>
    </row>
    <row r="156" spans="1:44">
      <c r="A156" s="134">
        <f t="shared" si="11"/>
        <v>45899</v>
      </c>
      <c r="B156" s="123">
        <f>YEAR(Table13[[#This Row],[Date]])+IF(MONTH(Table13[[#This Row],[Date]])&gt;=4,1,0)</f>
        <v>2026</v>
      </c>
      <c r="C156" s="121">
        <f>YEAR(Table13[[#This Row],[Date]])</f>
        <v>2025</v>
      </c>
      <c r="D156" s="135">
        <f>Table13[[#This Row],[Date]]-DAY(Table13[[#This Row],[Date]])+1</f>
        <v>45870</v>
      </c>
      <c r="E156" s="121">
        <f t="shared" si="8"/>
        <v>31</v>
      </c>
      <c r="F156" s="124"/>
      <c r="G156" s="125"/>
      <c r="H156" s="125"/>
      <c r="I156" s="125"/>
      <c r="J156" s="125"/>
      <c r="K156" s="136"/>
      <c r="L156" s="125"/>
      <c r="M156" s="125" t="str">
        <f>IFERROR(_xlfn.XLOOKUP($A156,Input_Raw!$A:$A,Input_Raw!CG:CG),"")</f>
        <v/>
      </c>
      <c r="N156" s="125" t="str">
        <f>IFERROR(_xlfn.XLOOKUP($A156,Input_Raw!$A:$A,Input_Raw!CH:CH),"")</f>
        <v/>
      </c>
      <c r="O156" s="137" t="str">
        <f t="shared" si="10"/>
        <v/>
      </c>
      <c r="P156" s="137" t="str">
        <f>IFERROR(1-SUMIF(WTG_BD!$F:$F,$A156,WTG_BD!$AA:$AA)/($AA156+SUMIF(WTG_BD!$F:$F,$A156,WTG_BD!$AA:$AA)),"")</f>
        <v/>
      </c>
      <c r="Q156" s="138" t="str">
        <f>IFERROR(1-SUMIF(IGA_BD!$F:$F,$A156,IGA_BD!$V:$V)/($AA156+SUMIF(IGA_BD!$F:$F,$A156,IGA_BD!$V:$V)),"")</f>
        <v/>
      </c>
      <c r="R156" s="143" t="str">
        <f>IFERROR(1-SUMIF(Grid_BD!$F:$F,$A156,Grid_BD!$X:$X)/($AA156+SUMIF(Grid_BD!$F:$F,$A156,Grid_BD!$X:$X)),"")</f>
        <v/>
      </c>
      <c r="S156" s="121"/>
      <c r="T156" s="138"/>
      <c r="U156" s="139"/>
      <c r="V156" s="121"/>
      <c r="W156" s="140" t="str">
        <f>IFERROR(Table13[[#This Row],[Mtr_Net_Exp (KWh)]]/(24*AR156*1000),"")</f>
        <v/>
      </c>
      <c r="X156" s="121" t="str">
        <f>IFERROR(_xlfn.XLOOKUP($A156,Input_Raw!$A:$A,Input_Raw!$CF:$CF),"")</f>
        <v/>
      </c>
      <c r="Y156" s="121" t="str">
        <f>IFERROR(_xlfn.XLOOKUP($A156,Input_Raw!$A:$A,Input_Raw!$CZ:$CZ),"")</f>
        <v/>
      </c>
      <c r="Z156" s="121" t="str">
        <f>IFERROR(_xlfn.XLOOKUP($A156,Input_Raw!$A:$A,Input_Raw!$DA:$DA),"")</f>
        <v/>
      </c>
      <c r="AA156" s="123" t="str">
        <f t="shared" si="9"/>
        <v/>
      </c>
      <c r="AB156" s="121" t="str">
        <f>IFERROR(_xlfn.XLOOKUP($A156,Input_Raw!$A:$A,Input_Raw!$DG:$DG),"")</f>
        <v/>
      </c>
      <c r="AC156" s="141">
        <f>IFERROR(_xlfn.XLOOKUP($D156,'Modelling New'!$D:$D,'Modelling New'!$J:$J),"")</f>
        <v>6.8666666666666671</v>
      </c>
      <c r="AD156" s="123">
        <f>IFERROR(_xlfn.XLOOKUP($D156,'Modelling New'!$D:$D,'Modelling New'!$T:$T)*1000,"")</f>
        <v>616013.63346204848</v>
      </c>
      <c r="AE156" s="140"/>
      <c r="AF156" s="140">
        <f>IFERROR(_xlfn.XLOOKUP($D156,'Modelling New'!$D:$D,'Modelling New'!$W:$W),"")</f>
        <v>0.3290671118921199</v>
      </c>
      <c r="AG156" s="140">
        <f>IFERROR(_xlfn.XLOOKUP($D156,'Modelling New'!$D:$D,'Modelling New'!$AE:$AE),"")</f>
        <v>0.96029999999999993</v>
      </c>
      <c r="AH156" s="140">
        <f>IFERROR(_xlfn.XLOOKUP($D156,'Modelling New'!$D:$D,'Modelling New'!$AF:$AF),"")</f>
        <v>0.995</v>
      </c>
      <c r="AI156" s="121" t="str">
        <f>IFERROR(_xlfn.XLOOKUP($A156,Input_Raw!$A:$A,Input_Raw!$DE:$DE),"")</f>
        <v/>
      </c>
      <c r="AJ156" s="121"/>
      <c r="AK156" s="121"/>
      <c r="AL156" s="121"/>
      <c r="AM156" s="121"/>
      <c r="AN156" s="142" t="str">
        <f>IFERROR(_xlfn.XLOOKUP($A156,Input_Raw!$A:$A,Input_Raw!$DB:$DB),"")</f>
        <v/>
      </c>
      <c r="AO156" s="140" t="str">
        <f>IFERROR((_xlfn.XLOOKUP($A156,'WTG Reactive Power'!$A:$A,'WTG Reactive Power'!$AR:$AR))/X156/1000,"")</f>
        <v/>
      </c>
      <c r="AP156" s="140">
        <f>IFERROR(_xlfn.XLOOKUP($D156,'Modelling New'!$D:$D,'Modelling New'!$AK:$AK),"")</f>
        <v>0.05</v>
      </c>
      <c r="AQ156" s="140">
        <f>IFERROR(_xlfn.XLOOKUP($D156,'Modelling New'!$D:$D,'Modelling New'!$AL:$AL),"")</f>
        <v>0.05</v>
      </c>
      <c r="AR156">
        <f>IFERROR(_xlfn.XLOOKUP($D156,'Modelling New'!$D:$D,'Modelling New'!$N:$N),"")</f>
        <v>78</v>
      </c>
    </row>
    <row r="157" spans="1:44">
      <c r="A157" s="134">
        <f t="shared" si="11"/>
        <v>45900</v>
      </c>
      <c r="B157" s="123">
        <f>YEAR(Table13[[#This Row],[Date]])+IF(MONTH(Table13[[#This Row],[Date]])&gt;=4,1,0)</f>
        <v>2026</v>
      </c>
      <c r="C157" s="121">
        <f>YEAR(Table13[[#This Row],[Date]])</f>
        <v>2025</v>
      </c>
      <c r="D157" s="135">
        <f>Table13[[#This Row],[Date]]-DAY(Table13[[#This Row],[Date]])+1</f>
        <v>45870</v>
      </c>
      <c r="E157" s="121">
        <f t="shared" si="8"/>
        <v>31</v>
      </c>
      <c r="F157" s="124"/>
      <c r="G157" s="125"/>
      <c r="H157" s="125"/>
      <c r="I157" s="125"/>
      <c r="J157" s="125"/>
      <c r="K157" s="136"/>
      <c r="L157" s="125"/>
      <c r="M157" s="125" t="str">
        <f>IFERROR(_xlfn.XLOOKUP($A157,Input_Raw!$A:$A,Input_Raw!CG:CG),"")</f>
        <v/>
      </c>
      <c r="N157" s="125" t="str">
        <f>IFERROR(_xlfn.XLOOKUP($A157,Input_Raw!$A:$A,Input_Raw!CH:CH),"")</f>
        <v/>
      </c>
      <c r="O157" s="137" t="str">
        <f t="shared" si="10"/>
        <v/>
      </c>
      <c r="P157" s="137" t="str">
        <f>IFERROR(1-SUMIF(WTG_BD!$F:$F,$A157,WTG_BD!$AA:$AA)/($AA157+SUMIF(WTG_BD!$F:$F,$A157,WTG_BD!$AA:$AA)),"")</f>
        <v/>
      </c>
      <c r="Q157" s="138" t="str">
        <f>IFERROR(1-SUMIF(IGA_BD!$F:$F,$A157,IGA_BD!$V:$V)/($AA157+SUMIF(IGA_BD!$F:$F,$A157,IGA_BD!$V:$V)),"")</f>
        <v/>
      </c>
      <c r="R157" s="143" t="str">
        <f>IFERROR(1-SUMIF(Grid_BD!$F:$F,$A157,Grid_BD!$X:$X)/($AA157+SUMIF(Grid_BD!$F:$F,$A157,Grid_BD!$X:$X)),"")</f>
        <v/>
      </c>
      <c r="S157" s="121"/>
      <c r="T157" s="138"/>
      <c r="U157" s="139"/>
      <c r="V157" s="121"/>
      <c r="W157" s="140" t="str">
        <f>IFERROR(Table13[[#This Row],[Mtr_Net_Exp (KWh)]]/(24*AR157*1000),"")</f>
        <v/>
      </c>
      <c r="X157" s="121" t="str">
        <f>IFERROR(_xlfn.XLOOKUP($A157,Input_Raw!$A:$A,Input_Raw!$CF:$CF),"")</f>
        <v/>
      </c>
      <c r="Y157" s="121" t="str">
        <f>IFERROR(_xlfn.XLOOKUP($A157,Input_Raw!$A:$A,Input_Raw!$CZ:$CZ),"")</f>
        <v/>
      </c>
      <c r="Z157" s="121" t="str">
        <f>IFERROR(_xlfn.XLOOKUP($A157,Input_Raw!$A:$A,Input_Raw!$DA:$DA),"")</f>
        <v/>
      </c>
      <c r="AA157" s="123" t="str">
        <f t="shared" si="9"/>
        <v/>
      </c>
      <c r="AB157" s="121" t="str">
        <f>IFERROR(_xlfn.XLOOKUP($A157,Input_Raw!$A:$A,Input_Raw!$DG:$DG),"")</f>
        <v/>
      </c>
      <c r="AC157" s="141">
        <f>IFERROR(_xlfn.XLOOKUP($D157,'Modelling New'!$D:$D,'Modelling New'!$J:$J),"")</f>
        <v>6.8666666666666671</v>
      </c>
      <c r="AD157" s="123">
        <f>IFERROR(_xlfn.XLOOKUP($D157,'Modelling New'!$D:$D,'Modelling New'!$T:$T)*1000,"")</f>
        <v>616013.63346204848</v>
      </c>
      <c r="AE157" s="140"/>
      <c r="AF157" s="140">
        <f>IFERROR(_xlfn.XLOOKUP($D157,'Modelling New'!$D:$D,'Modelling New'!$W:$W),"")</f>
        <v>0.3290671118921199</v>
      </c>
      <c r="AG157" s="140">
        <f>IFERROR(_xlfn.XLOOKUP($D157,'Modelling New'!$D:$D,'Modelling New'!$AE:$AE),"")</f>
        <v>0.96029999999999993</v>
      </c>
      <c r="AH157" s="140">
        <f>IFERROR(_xlfn.XLOOKUP($D157,'Modelling New'!$D:$D,'Modelling New'!$AF:$AF),"")</f>
        <v>0.995</v>
      </c>
      <c r="AI157" s="121" t="str">
        <f>IFERROR(_xlfn.XLOOKUP($A157,Input_Raw!$A:$A,Input_Raw!$DE:$DE),"")</f>
        <v/>
      </c>
      <c r="AJ157" s="121"/>
      <c r="AK157" s="121"/>
      <c r="AL157" s="121"/>
      <c r="AM157" s="121"/>
      <c r="AN157" s="142" t="str">
        <f>IFERROR(_xlfn.XLOOKUP($A157,Input_Raw!$A:$A,Input_Raw!$DB:$DB),"")</f>
        <v/>
      </c>
      <c r="AO157" s="140" t="str">
        <f>IFERROR((_xlfn.XLOOKUP($A157,'WTG Reactive Power'!$A:$A,'WTG Reactive Power'!$AR:$AR))/X157/1000,"")</f>
        <v/>
      </c>
      <c r="AP157" s="140">
        <f>IFERROR(_xlfn.XLOOKUP($D157,'Modelling New'!$D:$D,'Modelling New'!$AK:$AK),"")</f>
        <v>0.05</v>
      </c>
      <c r="AQ157" s="140">
        <f>IFERROR(_xlfn.XLOOKUP($D157,'Modelling New'!$D:$D,'Modelling New'!$AL:$AL),"")</f>
        <v>0.05</v>
      </c>
      <c r="AR157">
        <f>IFERROR(_xlfn.XLOOKUP($D157,'Modelling New'!$D:$D,'Modelling New'!$N:$N),"")</f>
        <v>78</v>
      </c>
    </row>
    <row r="158" spans="1:44">
      <c r="A158" s="134">
        <f t="shared" si="11"/>
        <v>45901</v>
      </c>
      <c r="B158" s="123">
        <f>YEAR(Table13[[#This Row],[Date]])+IF(MONTH(Table13[[#This Row],[Date]])&gt;=4,1,0)</f>
        <v>2026</v>
      </c>
      <c r="C158" s="121">
        <f>YEAR(Table13[[#This Row],[Date]])</f>
        <v>2025</v>
      </c>
      <c r="D158" s="135">
        <f>Table13[[#This Row],[Date]]-DAY(Table13[[#This Row],[Date]])+1</f>
        <v>45901</v>
      </c>
      <c r="E158" s="121">
        <f t="shared" si="8"/>
        <v>30</v>
      </c>
      <c r="F158" s="124"/>
      <c r="G158" s="125"/>
      <c r="H158" s="125"/>
      <c r="I158" s="125"/>
      <c r="J158" s="125"/>
      <c r="K158" s="136"/>
      <c r="L158" s="125"/>
      <c r="M158" s="125" t="str">
        <f>IFERROR(_xlfn.XLOOKUP($A158,Input_Raw!$A:$A,Input_Raw!CG:CG),"")</f>
        <v/>
      </c>
      <c r="N158" s="125" t="str">
        <f>IFERROR(_xlfn.XLOOKUP($A158,Input_Raw!$A:$A,Input_Raw!CH:CH),"")</f>
        <v/>
      </c>
      <c r="O158" s="137" t="str">
        <f t="shared" si="10"/>
        <v/>
      </c>
      <c r="P158" s="137" t="str">
        <f>IFERROR(1-SUMIF(WTG_BD!$F:$F,$A158,WTG_BD!$AA:$AA)/($AA158+SUMIF(WTG_BD!$F:$F,$A158,WTG_BD!$AA:$AA)),"")</f>
        <v/>
      </c>
      <c r="Q158" s="138" t="str">
        <f>IFERROR(1-SUMIF(IGA_BD!$F:$F,$A158,IGA_BD!$V:$V)/($AA158+SUMIF(IGA_BD!$F:$F,$A158,IGA_BD!$V:$V)),"")</f>
        <v/>
      </c>
      <c r="R158" s="143" t="str">
        <f>IFERROR(1-SUMIF(Grid_BD!$F:$F,$A158,Grid_BD!$X:$X)/($AA158+SUMIF(Grid_BD!$F:$F,$A158,Grid_BD!$X:$X)),"")</f>
        <v/>
      </c>
      <c r="S158" s="121"/>
      <c r="T158" s="138"/>
      <c r="U158" s="139"/>
      <c r="V158" s="121"/>
      <c r="W158" s="140" t="str">
        <f>IFERROR(Table13[[#This Row],[Mtr_Net_Exp (KWh)]]/(24*AR158*1000),"")</f>
        <v/>
      </c>
      <c r="X158" s="121" t="str">
        <f>IFERROR(_xlfn.XLOOKUP($A158,Input_Raw!$A:$A,Input_Raw!$CF:$CF),"")</f>
        <v/>
      </c>
      <c r="Y158" s="121" t="str">
        <f>IFERROR(_xlfn.XLOOKUP($A158,Input_Raw!$A:$A,Input_Raw!$CZ:$CZ),"")</f>
        <v/>
      </c>
      <c r="Z158" s="121" t="str">
        <f>IFERROR(_xlfn.XLOOKUP($A158,Input_Raw!$A:$A,Input_Raw!$DA:$DA),"")</f>
        <v/>
      </c>
      <c r="AA158" s="123" t="str">
        <f t="shared" si="9"/>
        <v/>
      </c>
      <c r="AB158" s="121" t="str">
        <f>IFERROR(_xlfn.XLOOKUP($A158,Input_Raw!$A:$A,Input_Raw!$DG:$DG),"")</f>
        <v/>
      </c>
      <c r="AC158" s="141">
        <f>IFERROR(_xlfn.XLOOKUP($D158,'Modelling New'!$D:$D,'Modelling New'!$J:$J),"")</f>
        <v>5.0333333333333332</v>
      </c>
      <c r="AD158" s="123">
        <f>IFERROR(_xlfn.XLOOKUP($D158,'Modelling New'!$D:$D,'Modelling New'!$T:$T)*1000,"")</f>
        <v>279529.73373197042</v>
      </c>
      <c r="AE158" s="140"/>
      <c r="AF158" s="140">
        <f>IFERROR(_xlfn.XLOOKUP($D158,'Modelling New'!$D:$D,'Modelling New'!$W:$W),"")</f>
        <v>0.14932143895938593</v>
      </c>
      <c r="AG158" s="140">
        <f>IFERROR(_xlfn.XLOOKUP($D158,'Modelling New'!$D:$D,'Modelling New'!$AE:$AE),"")</f>
        <v>0.96029999999999993</v>
      </c>
      <c r="AH158" s="140">
        <f>IFERROR(_xlfn.XLOOKUP($D158,'Modelling New'!$D:$D,'Modelling New'!$AF:$AF),"")</f>
        <v>0.995</v>
      </c>
      <c r="AI158" s="121" t="str">
        <f>IFERROR(_xlfn.XLOOKUP($A158,Input_Raw!$A:$A,Input_Raw!$DE:$DE),"")</f>
        <v/>
      </c>
      <c r="AJ158" s="121"/>
      <c r="AK158" s="121"/>
      <c r="AL158" s="121"/>
      <c r="AM158" s="121"/>
      <c r="AN158" s="142" t="str">
        <f>IFERROR(_xlfn.XLOOKUP($A158,Input_Raw!$A:$A,Input_Raw!$DB:$DB),"")</f>
        <v/>
      </c>
      <c r="AO158" s="140" t="str">
        <f>IFERROR((_xlfn.XLOOKUP($A158,'WTG Reactive Power'!$A:$A,'WTG Reactive Power'!$AR:$AR))/X158/1000,"")</f>
        <v/>
      </c>
      <c r="AP158" s="140">
        <f>IFERROR(_xlfn.XLOOKUP($D158,'Modelling New'!$D:$D,'Modelling New'!$AK:$AK),"")</f>
        <v>0.05</v>
      </c>
      <c r="AQ158" s="140">
        <f>IFERROR(_xlfn.XLOOKUP($D158,'Modelling New'!$D:$D,'Modelling New'!$AL:$AL),"")</f>
        <v>0.05</v>
      </c>
      <c r="AR158">
        <f>IFERROR(_xlfn.XLOOKUP($D158,'Modelling New'!$D:$D,'Modelling New'!$N:$N),"")</f>
        <v>78</v>
      </c>
    </row>
    <row r="159" spans="1:44">
      <c r="A159" s="134">
        <f t="shared" si="11"/>
        <v>45902</v>
      </c>
      <c r="B159" s="123">
        <f>YEAR(Table13[[#This Row],[Date]])+IF(MONTH(Table13[[#This Row],[Date]])&gt;=4,1,0)</f>
        <v>2026</v>
      </c>
      <c r="C159" s="121">
        <f>YEAR(Table13[[#This Row],[Date]])</f>
        <v>2025</v>
      </c>
      <c r="D159" s="135">
        <f>Table13[[#This Row],[Date]]-DAY(Table13[[#This Row],[Date]])+1</f>
        <v>45901</v>
      </c>
      <c r="E159" s="121">
        <f t="shared" si="8"/>
        <v>30</v>
      </c>
      <c r="F159" s="124"/>
      <c r="G159" s="125"/>
      <c r="H159" s="125"/>
      <c r="I159" s="125"/>
      <c r="J159" s="125"/>
      <c r="K159" s="136"/>
      <c r="L159" s="125"/>
      <c r="M159" s="125" t="str">
        <f>IFERROR(_xlfn.XLOOKUP($A159,Input_Raw!$A:$A,Input_Raw!CG:CG),"")</f>
        <v/>
      </c>
      <c r="N159" s="125" t="str">
        <f>IFERROR(_xlfn.XLOOKUP($A159,Input_Raw!$A:$A,Input_Raw!CH:CH),"")</f>
        <v/>
      </c>
      <c r="O159" s="137" t="str">
        <f t="shared" si="10"/>
        <v/>
      </c>
      <c r="P159" s="137" t="str">
        <f>IFERROR(1-SUMIF(WTG_BD!$F:$F,$A159,WTG_BD!$AA:$AA)/($AA159+SUMIF(WTG_BD!$F:$F,$A159,WTG_BD!$AA:$AA)),"")</f>
        <v/>
      </c>
      <c r="Q159" s="138" t="str">
        <f>IFERROR(1-SUMIF(IGA_BD!$F:$F,$A159,IGA_BD!$V:$V)/($AA159+SUMIF(IGA_BD!$F:$F,$A159,IGA_BD!$V:$V)),"")</f>
        <v/>
      </c>
      <c r="R159" s="143" t="str">
        <f>IFERROR(1-SUMIF(Grid_BD!$F:$F,$A159,Grid_BD!$X:$X)/($AA159+SUMIF(Grid_BD!$F:$F,$A159,Grid_BD!$X:$X)),"")</f>
        <v/>
      </c>
      <c r="S159" s="121"/>
      <c r="T159" s="138"/>
      <c r="U159" s="139"/>
      <c r="V159" s="121"/>
      <c r="W159" s="140" t="str">
        <f>IFERROR(Table13[[#This Row],[Mtr_Net_Exp (KWh)]]/(24*AR159*1000),"")</f>
        <v/>
      </c>
      <c r="X159" s="121" t="str">
        <f>IFERROR(_xlfn.XLOOKUP($A159,Input_Raw!$A:$A,Input_Raw!$CF:$CF),"")</f>
        <v/>
      </c>
      <c r="Y159" s="121" t="str">
        <f>IFERROR(_xlfn.XLOOKUP($A159,Input_Raw!$A:$A,Input_Raw!$CZ:$CZ),"")</f>
        <v/>
      </c>
      <c r="Z159" s="121" t="str">
        <f>IFERROR(_xlfn.XLOOKUP($A159,Input_Raw!$A:$A,Input_Raw!$DA:$DA),"")</f>
        <v/>
      </c>
      <c r="AA159" s="123" t="str">
        <f t="shared" si="9"/>
        <v/>
      </c>
      <c r="AB159" s="121" t="str">
        <f>IFERROR(_xlfn.XLOOKUP($A159,Input_Raw!$A:$A,Input_Raw!$DG:$DG),"")</f>
        <v/>
      </c>
      <c r="AC159" s="141">
        <f>IFERROR(_xlfn.XLOOKUP($D159,'Modelling New'!$D:$D,'Modelling New'!$J:$J),"")</f>
        <v>5.0333333333333332</v>
      </c>
      <c r="AD159" s="123">
        <f>IFERROR(_xlfn.XLOOKUP($D159,'Modelling New'!$D:$D,'Modelling New'!$T:$T)*1000,"")</f>
        <v>279529.73373197042</v>
      </c>
      <c r="AE159" s="140"/>
      <c r="AF159" s="140">
        <f>IFERROR(_xlfn.XLOOKUP($D159,'Modelling New'!$D:$D,'Modelling New'!$W:$W),"")</f>
        <v>0.14932143895938593</v>
      </c>
      <c r="AG159" s="140">
        <f>IFERROR(_xlfn.XLOOKUP($D159,'Modelling New'!$D:$D,'Modelling New'!$AE:$AE),"")</f>
        <v>0.96029999999999993</v>
      </c>
      <c r="AH159" s="140">
        <f>IFERROR(_xlfn.XLOOKUP($D159,'Modelling New'!$D:$D,'Modelling New'!$AF:$AF),"")</f>
        <v>0.995</v>
      </c>
      <c r="AI159" s="121" t="str">
        <f>IFERROR(_xlfn.XLOOKUP($A159,Input_Raw!$A:$A,Input_Raw!$DE:$DE),"")</f>
        <v/>
      </c>
      <c r="AJ159" s="121"/>
      <c r="AK159" s="121"/>
      <c r="AL159" s="121"/>
      <c r="AM159" s="121"/>
      <c r="AN159" s="142" t="str">
        <f>IFERROR(_xlfn.XLOOKUP($A159,Input_Raw!$A:$A,Input_Raw!$DB:$DB),"")</f>
        <v/>
      </c>
      <c r="AO159" s="140" t="str">
        <f>IFERROR((_xlfn.XLOOKUP($A159,'WTG Reactive Power'!$A:$A,'WTG Reactive Power'!$AR:$AR))/X159/1000,"")</f>
        <v/>
      </c>
      <c r="AP159" s="140">
        <f>IFERROR(_xlfn.XLOOKUP($D159,'Modelling New'!$D:$D,'Modelling New'!$AK:$AK),"")</f>
        <v>0.05</v>
      </c>
      <c r="AQ159" s="140">
        <f>IFERROR(_xlfn.XLOOKUP($D159,'Modelling New'!$D:$D,'Modelling New'!$AL:$AL),"")</f>
        <v>0.05</v>
      </c>
      <c r="AR159">
        <f>IFERROR(_xlfn.XLOOKUP($D159,'Modelling New'!$D:$D,'Modelling New'!$N:$N),"")</f>
        <v>78</v>
      </c>
    </row>
    <row r="160" spans="1:44">
      <c r="A160" s="134">
        <f t="shared" si="11"/>
        <v>45903</v>
      </c>
      <c r="B160" s="123">
        <f>YEAR(Table13[[#This Row],[Date]])+IF(MONTH(Table13[[#This Row],[Date]])&gt;=4,1,0)</f>
        <v>2026</v>
      </c>
      <c r="C160" s="121">
        <f>YEAR(Table13[[#This Row],[Date]])</f>
        <v>2025</v>
      </c>
      <c r="D160" s="135">
        <f>Table13[[#This Row],[Date]]-DAY(Table13[[#This Row],[Date]])+1</f>
        <v>45901</v>
      </c>
      <c r="E160" s="121">
        <f t="shared" si="8"/>
        <v>30</v>
      </c>
      <c r="F160" s="124"/>
      <c r="G160" s="125"/>
      <c r="H160" s="125"/>
      <c r="I160" s="125"/>
      <c r="J160" s="125"/>
      <c r="K160" s="136"/>
      <c r="L160" s="125"/>
      <c r="M160" s="125" t="str">
        <f>IFERROR(_xlfn.XLOOKUP($A160,Input_Raw!$A:$A,Input_Raw!CG:CG),"")</f>
        <v/>
      </c>
      <c r="N160" s="125" t="str">
        <f>IFERROR(_xlfn.XLOOKUP($A160,Input_Raw!$A:$A,Input_Raw!CH:CH),"")</f>
        <v/>
      </c>
      <c r="O160" s="137" t="str">
        <f t="shared" si="10"/>
        <v/>
      </c>
      <c r="P160" s="137" t="str">
        <f>IFERROR(1-SUMIF(WTG_BD!$F:$F,$A160,WTG_BD!$AA:$AA)/($AA160+SUMIF(WTG_BD!$F:$F,$A160,WTG_BD!$AA:$AA)),"")</f>
        <v/>
      </c>
      <c r="Q160" s="138" t="str">
        <f>IFERROR(1-SUMIF(IGA_BD!$F:$F,$A160,IGA_BD!$V:$V)/($AA160+SUMIF(IGA_BD!$F:$F,$A160,IGA_BD!$V:$V)),"")</f>
        <v/>
      </c>
      <c r="R160" s="143" t="str">
        <f>IFERROR(1-SUMIF(Grid_BD!$F:$F,$A160,Grid_BD!$X:$X)/($AA160+SUMIF(Grid_BD!$F:$F,$A160,Grid_BD!$X:$X)),"")</f>
        <v/>
      </c>
      <c r="S160" s="121"/>
      <c r="T160" s="138"/>
      <c r="U160" s="139"/>
      <c r="V160" s="121"/>
      <c r="W160" s="140" t="str">
        <f>IFERROR(Table13[[#This Row],[Mtr_Net_Exp (KWh)]]/(24*AR160*1000),"")</f>
        <v/>
      </c>
      <c r="X160" s="121" t="str">
        <f>IFERROR(_xlfn.XLOOKUP($A160,Input_Raw!$A:$A,Input_Raw!$CF:$CF),"")</f>
        <v/>
      </c>
      <c r="Y160" s="121" t="str">
        <f>IFERROR(_xlfn.XLOOKUP($A160,Input_Raw!$A:$A,Input_Raw!$CZ:$CZ),"")</f>
        <v/>
      </c>
      <c r="Z160" s="121" t="str">
        <f>IFERROR(_xlfn.XLOOKUP($A160,Input_Raw!$A:$A,Input_Raw!$DA:$DA),"")</f>
        <v/>
      </c>
      <c r="AA160" s="123" t="str">
        <f t="shared" si="9"/>
        <v/>
      </c>
      <c r="AB160" s="121" t="str">
        <f>IFERROR(_xlfn.XLOOKUP($A160,Input_Raw!$A:$A,Input_Raw!$DG:$DG),"")</f>
        <v/>
      </c>
      <c r="AC160" s="141">
        <f>IFERROR(_xlfn.XLOOKUP($D160,'Modelling New'!$D:$D,'Modelling New'!$J:$J),"")</f>
        <v>5.0333333333333332</v>
      </c>
      <c r="AD160" s="123">
        <f>IFERROR(_xlfn.XLOOKUP($D160,'Modelling New'!$D:$D,'Modelling New'!$T:$T)*1000,"")</f>
        <v>279529.73373197042</v>
      </c>
      <c r="AE160" s="140"/>
      <c r="AF160" s="140">
        <f>IFERROR(_xlfn.XLOOKUP($D160,'Modelling New'!$D:$D,'Modelling New'!$W:$W),"")</f>
        <v>0.14932143895938593</v>
      </c>
      <c r="AG160" s="140">
        <f>IFERROR(_xlfn.XLOOKUP($D160,'Modelling New'!$D:$D,'Modelling New'!$AE:$AE),"")</f>
        <v>0.96029999999999993</v>
      </c>
      <c r="AH160" s="140">
        <f>IFERROR(_xlfn.XLOOKUP($D160,'Modelling New'!$D:$D,'Modelling New'!$AF:$AF),"")</f>
        <v>0.995</v>
      </c>
      <c r="AI160" s="121" t="str">
        <f>IFERROR(_xlfn.XLOOKUP($A160,Input_Raw!$A:$A,Input_Raw!$DE:$DE),"")</f>
        <v/>
      </c>
      <c r="AJ160" s="121"/>
      <c r="AK160" s="121"/>
      <c r="AL160" s="121"/>
      <c r="AM160" s="121"/>
      <c r="AN160" s="142" t="str">
        <f>IFERROR(_xlfn.XLOOKUP($A160,Input_Raw!$A:$A,Input_Raw!$DB:$DB),"")</f>
        <v/>
      </c>
      <c r="AO160" s="140" t="str">
        <f>IFERROR((_xlfn.XLOOKUP($A160,'WTG Reactive Power'!$A:$A,'WTG Reactive Power'!$AR:$AR))/X160/1000,"")</f>
        <v/>
      </c>
      <c r="AP160" s="140">
        <f>IFERROR(_xlfn.XLOOKUP($D160,'Modelling New'!$D:$D,'Modelling New'!$AK:$AK),"")</f>
        <v>0.05</v>
      </c>
      <c r="AQ160" s="140">
        <f>IFERROR(_xlfn.XLOOKUP($D160,'Modelling New'!$D:$D,'Modelling New'!$AL:$AL),"")</f>
        <v>0.05</v>
      </c>
      <c r="AR160">
        <f>IFERROR(_xlfn.XLOOKUP($D160,'Modelling New'!$D:$D,'Modelling New'!$N:$N),"")</f>
        <v>78</v>
      </c>
    </row>
    <row r="161" spans="1:44">
      <c r="A161" s="134">
        <f t="shared" si="11"/>
        <v>45904</v>
      </c>
      <c r="B161" s="123">
        <f>YEAR(Table13[[#This Row],[Date]])+IF(MONTH(Table13[[#This Row],[Date]])&gt;=4,1,0)</f>
        <v>2026</v>
      </c>
      <c r="C161" s="121">
        <f>YEAR(Table13[[#This Row],[Date]])</f>
        <v>2025</v>
      </c>
      <c r="D161" s="135">
        <f>Table13[[#This Row],[Date]]-DAY(Table13[[#This Row],[Date]])+1</f>
        <v>45901</v>
      </c>
      <c r="E161" s="121">
        <f t="shared" si="8"/>
        <v>30</v>
      </c>
      <c r="F161" s="124"/>
      <c r="G161" s="125"/>
      <c r="H161" s="125"/>
      <c r="I161" s="125"/>
      <c r="J161" s="125"/>
      <c r="K161" s="136"/>
      <c r="L161" s="125"/>
      <c r="M161" s="125" t="str">
        <f>IFERROR(_xlfn.XLOOKUP($A161,Input_Raw!$A:$A,Input_Raw!CG:CG),"")</f>
        <v/>
      </c>
      <c r="N161" s="125" t="str">
        <f>IFERROR(_xlfn.XLOOKUP($A161,Input_Raw!$A:$A,Input_Raw!CH:CH),"")</f>
        <v/>
      </c>
      <c r="O161" s="137" t="str">
        <f t="shared" si="10"/>
        <v/>
      </c>
      <c r="P161" s="137" t="str">
        <f>IFERROR(1-SUMIF(WTG_BD!$F:$F,$A161,WTG_BD!$AA:$AA)/($AA161+SUMIF(WTG_BD!$F:$F,$A161,WTG_BD!$AA:$AA)),"")</f>
        <v/>
      </c>
      <c r="Q161" s="138" t="str">
        <f>IFERROR(1-SUMIF(IGA_BD!$F:$F,$A161,IGA_BD!$V:$V)/($AA161+SUMIF(IGA_BD!$F:$F,$A161,IGA_BD!$V:$V)),"")</f>
        <v/>
      </c>
      <c r="R161" s="143" t="str">
        <f>IFERROR(1-SUMIF(Grid_BD!$F:$F,$A161,Grid_BD!$X:$X)/($AA161+SUMIF(Grid_BD!$F:$F,$A161,Grid_BD!$X:$X)),"")</f>
        <v/>
      </c>
      <c r="S161" s="121"/>
      <c r="T161" s="138"/>
      <c r="U161" s="139"/>
      <c r="V161" s="121"/>
      <c r="W161" s="140" t="str">
        <f>IFERROR(Table13[[#This Row],[Mtr_Net_Exp (KWh)]]/(24*AR161*1000),"")</f>
        <v/>
      </c>
      <c r="X161" s="121" t="str">
        <f>IFERROR(_xlfn.XLOOKUP($A161,Input_Raw!$A:$A,Input_Raw!$CF:$CF),"")</f>
        <v/>
      </c>
      <c r="Y161" s="121" t="str">
        <f>IFERROR(_xlfn.XLOOKUP($A161,Input_Raw!$A:$A,Input_Raw!$CZ:$CZ),"")</f>
        <v/>
      </c>
      <c r="Z161" s="121" t="str">
        <f>IFERROR(_xlfn.XLOOKUP($A161,Input_Raw!$A:$A,Input_Raw!$DA:$DA),"")</f>
        <v/>
      </c>
      <c r="AA161" s="123" t="str">
        <f t="shared" si="9"/>
        <v/>
      </c>
      <c r="AB161" s="121" t="str">
        <f>IFERROR(_xlfn.XLOOKUP($A161,Input_Raw!$A:$A,Input_Raw!$DG:$DG),"")</f>
        <v/>
      </c>
      <c r="AC161" s="141">
        <f>IFERROR(_xlfn.XLOOKUP($D161,'Modelling New'!$D:$D,'Modelling New'!$J:$J),"")</f>
        <v>5.0333333333333332</v>
      </c>
      <c r="AD161" s="123">
        <f>IFERROR(_xlfn.XLOOKUP($D161,'Modelling New'!$D:$D,'Modelling New'!$T:$T)*1000,"")</f>
        <v>279529.73373197042</v>
      </c>
      <c r="AE161" s="140"/>
      <c r="AF161" s="140">
        <f>IFERROR(_xlfn.XLOOKUP($D161,'Modelling New'!$D:$D,'Modelling New'!$W:$W),"")</f>
        <v>0.14932143895938593</v>
      </c>
      <c r="AG161" s="140">
        <f>IFERROR(_xlfn.XLOOKUP($D161,'Modelling New'!$D:$D,'Modelling New'!$AE:$AE),"")</f>
        <v>0.96029999999999993</v>
      </c>
      <c r="AH161" s="140">
        <f>IFERROR(_xlfn.XLOOKUP($D161,'Modelling New'!$D:$D,'Modelling New'!$AF:$AF),"")</f>
        <v>0.995</v>
      </c>
      <c r="AI161" s="121" t="str">
        <f>IFERROR(_xlfn.XLOOKUP($A161,Input_Raw!$A:$A,Input_Raw!$DE:$DE),"")</f>
        <v/>
      </c>
      <c r="AJ161" s="121"/>
      <c r="AK161" s="121"/>
      <c r="AL161" s="121"/>
      <c r="AM161" s="121"/>
      <c r="AN161" s="142" t="str">
        <f>IFERROR(_xlfn.XLOOKUP($A161,Input_Raw!$A:$A,Input_Raw!$DB:$DB),"")</f>
        <v/>
      </c>
      <c r="AO161" s="140" t="str">
        <f>IFERROR((_xlfn.XLOOKUP($A161,'WTG Reactive Power'!$A:$A,'WTG Reactive Power'!$AR:$AR))/X161/1000,"")</f>
        <v/>
      </c>
      <c r="AP161" s="140">
        <f>IFERROR(_xlfn.XLOOKUP($D161,'Modelling New'!$D:$D,'Modelling New'!$AK:$AK),"")</f>
        <v>0.05</v>
      </c>
      <c r="AQ161" s="140">
        <f>IFERROR(_xlfn.XLOOKUP($D161,'Modelling New'!$D:$D,'Modelling New'!$AL:$AL),"")</f>
        <v>0.05</v>
      </c>
      <c r="AR161">
        <f>IFERROR(_xlfn.XLOOKUP($D161,'Modelling New'!$D:$D,'Modelling New'!$N:$N),"")</f>
        <v>78</v>
      </c>
    </row>
    <row r="162" spans="1:44">
      <c r="A162" s="134">
        <f t="shared" si="11"/>
        <v>45905</v>
      </c>
      <c r="B162" s="123">
        <f>YEAR(Table13[[#This Row],[Date]])+IF(MONTH(Table13[[#This Row],[Date]])&gt;=4,1,0)</f>
        <v>2026</v>
      </c>
      <c r="C162" s="121">
        <f>YEAR(Table13[[#This Row],[Date]])</f>
        <v>2025</v>
      </c>
      <c r="D162" s="135">
        <f>Table13[[#This Row],[Date]]-DAY(Table13[[#This Row],[Date]])+1</f>
        <v>45901</v>
      </c>
      <c r="E162" s="121">
        <f t="shared" si="8"/>
        <v>30</v>
      </c>
      <c r="F162" s="124"/>
      <c r="G162" s="125"/>
      <c r="H162" s="125"/>
      <c r="I162" s="125"/>
      <c r="J162" s="125"/>
      <c r="K162" s="136"/>
      <c r="L162" s="125"/>
      <c r="M162" s="125" t="str">
        <f>IFERROR(_xlfn.XLOOKUP($A162,Input_Raw!$A:$A,Input_Raw!CG:CG),"")</f>
        <v/>
      </c>
      <c r="N162" s="125" t="str">
        <f>IFERROR(_xlfn.XLOOKUP($A162,Input_Raw!$A:$A,Input_Raw!CH:CH),"")</f>
        <v/>
      </c>
      <c r="O162" s="137" t="str">
        <f t="shared" si="10"/>
        <v/>
      </c>
      <c r="P162" s="137" t="str">
        <f>IFERROR(1-SUMIF(WTG_BD!$F:$F,$A162,WTG_BD!$AA:$AA)/($AA162+SUMIF(WTG_BD!$F:$F,$A162,WTG_BD!$AA:$AA)),"")</f>
        <v/>
      </c>
      <c r="Q162" s="138" t="str">
        <f>IFERROR(1-SUMIF(IGA_BD!$F:$F,$A162,IGA_BD!$V:$V)/($AA162+SUMIF(IGA_BD!$F:$F,$A162,IGA_BD!$V:$V)),"")</f>
        <v/>
      </c>
      <c r="R162" s="143" t="str">
        <f>IFERROR(1-SUMIF(Grid_BD!$F:$F,$A162,Grid_BD!$X:$X)/($AA162+SUMIF(Grid_BD!$F:$F,$A162,Grid_BD!$X:$X)),"")</f>
        <v/>
      </c>
      <c r="S162" s="121"/>
      <c r="T162" s="138"/>
      <c r="U162" s="139"/>
      <c r="V162" s="121"/>
      <c r="W162" s="140" t="str">
        <f>IFERROR(Table13[[#This Row],[Mtr_Net_Exp (KWh)]]/(24*AR162*1000),"")</f>
        <v/>
      </c>
      <c r="X162" s="121" t="str">
        <f>IFERROR(_xlfn.XLOOKUP($A162,Input_Raw!$A:$A,Input_Raw!$CF:$CF),"")</f>
        <v/>
      </c>
      <c r="Y162" s="121" t="str">
        <f>IFERROR(_xlfn.XLOOKUP($A162,Input_Raw!$A:$A,Input_Raw!$CZ:$CZ),"")</f>
        <v/>
      </c>
      <c r="Z162" s="121" t="str">
        <f>IFERROR(_xlfn.XLOOKUP($A162,Input_Raw!$A:$A,Input_Raw!$DA:$DA),"")</f>
        <v/>
      </c>
      <c r="AA162" s="123" t="str">
        <f t="shared" si="9"/>
        <v/>
      </c>
      <c r="AB162" s="121" t="str">
        <f>IFERROR(_xlfn.XLOOKUP($A162,Input_Raw!$A:$A,Input_Raw!$DG:$DG),"")</f>
        <v/>
      </c>
      <c r="AC162" s="141">
        <f>IFERROR(_xlfn.XLOOKUP($D162,'Modelling New'!$D:$D,'Modelling New'!$J:$J),"")</f>
        <v>5.0333333333333332</v>
      </c>
      <c r="AD162" s="123">
        <f>IFERROR(_xlfn.XLOOKUP($D162,'Modelling New'!$D:$D,'Modelling New'!$T:$T)*1000,"")</f>
        <v>279529.73373197042</v>
      </c>
      <c r="AE162" s="140"/>
      <c r="AF162" s="140">
        <f>IFERROR(_xlfn.XLOOKUP($D162,'Modelling New'!$D:$D,'Modelling New'!$W:$W),"")</f>
        <v>0.14932143895938593</v>
      </c>
      <c r="AG162" s="140">
        <f>IFERROR(_xlfn.XLOOKUP($D162,'Modelling New'!$D:$D,'Modelling New'!$AE:$AE),"")</f>
        <v>0.96029999999999993</v>
      </c>
      <c r="AH162" s="140">
        <f>IFERROR(_xlfn.XLOOKUP($D162,'Modelling New'!$D:$D,'Modelling New'!$AF:$AF),"")</f>
        <v>0.995</v>
      </c>
      <c r="AI162" s="121" t="str">
        <f>IFERROR(_xlfn.XLOOKUP($A162,Input_Raw!$A:$A,Input_Raw!$DE:$DE),"")</f>
        <v/>
      </c>
      <c r="AJ162" s="121"/>
      <c r="AK162" s="121"/>
      <c r="AL162" s="121"/>
      <c r="AM162" s="121"/>
      <c r="AN162" s="142" t="str">
        <f>IFERROR(_xlfn.XLOOKUP($A162,Input_Raw!$A:$A,Input_Raw!$DB:$DB),"")</f>
        <v/>
      </c>
      <c r="AO162" s="140" t="str">
        <f>IFERROR((_xlfn.XLOOKUP($A162,'WTG Reactive Power'!$A:$A,'WTG Reactive Power'!$AR:$AR))/X162/1000,"")</f>
        <v/>
      </c>
      <c r="AP162" s="140">
        <f>IFERROR(_xlfn.XLOOKUP($D162,'Modelling New'!$D:$D,'Modelling New'!$AK:$AK),"")</f>
        <v>0.05</v>
      </c>
      <c r="AQ162" s="140">
        <f>IFERROR(_xlfn.XLOOKUP($D162,'Modelling New'!$D:$D,'Modelling New'!$AL:$AL),"")</f>
        <v>0.05</v>
      </c>
      <c r="AR162">
        <f>IFERROR(_xlfn.XLOOKUP($D162,'Modelling New'!$D:$D,'Modelling New'!$N:$N),"")</f>
        <v>78</v>
      </c>
    </row>
    <row r="163" spans="1:44">
      <c r="A163" s="134">
        <f t="shared" si="11"/>
        <v>45906</v>
      </c>
      <c r="B163" s="123">
        <f>YEAR(Table13[[#This Row],[Date]])+IF(MONTH(Table13[[#This Row],[Date]])&gt;=4,1,0)</f>
        <v>2026</v>
      </c>
      <c r="C163" s="121">
        <f>YEAR(Table13[[#This Row],[Date]])</f>
        <v>2025</v>
      </c>
      <c r="D163" s="135">
        <f>Table13[[#This Row],[Date]]-DAY(Table13[[#This Row],[Date]])+1</f>
        <v>45901</v>
      </c>
      <c r="E163" s="121">
        <f t="shared" si="8"/>
        <v>30</v>
      </c>
      <c r="F163" s="124"/>
      <c r="G163" s="125"/>
      <c r="H163" s="125"/>
      <c r="I163" s="125"/>
      <c r="J163" s="125"/>
      <c r="K163" s="136"/>
      <c r="L163" s="125"/>
      <c r="M163" s="125" t="str">
        <f>IFERROR(_xlfn.XLOOKUP($A163,Input_Raw!$A:$A,Input_Raw!CG:CG),"")</f>
        <v/>
      </c>
      <c r="N163" s="125" t="str">
        <f>IFERROR(_xlfn.XLOOKUP($A163,Input_Raw!$A:$A,Input_Raw!CH:CH),"")</f>
        <v/>
      </c>
      <c r="O163" s="137" t="str">
        <f t="shared" si="10"/>
        <v/>
      </c>
      <c r="P163" s="137" t="str">
        <f>IFERROR(1-SUMIF(WTG_BD!$F:$F,$A163,WTG_BD!$AA:$AA)/($AA163+SUMIF(WTG_BD!$F:$F,$A163,WTG_BD!$AA:$AA)),"")</f>
        <v/>
      </c>
      <c r="Q163" s="138" t="str">
        <f>IFERROR(1-SUMIF(IGA_BD!$F:$F,$A163,IGA_BD!$V:$V)/($AA163+SUMIF(IGA_BD!$F:$F,$A163,IGA_BD!$V:$V)),"")</f>
        <v/>
      </c>
      <c r="R163" s="143" t="str">
        <f>IFERROR(1-SUMIF(Grid_BD!$F:$F,$A163,Grid_BD!$X:$X)/($AA163+SUMIF(Grid_BD!$F:$F,$A163,Grid_BD!$X:$X)),"")</f>
        <v/>
      </c>
      <c r="S163" s="121"/>
      <c r="T163" s="138"/>
      <c r="U163" s="139"/>
      <c r="V163" s="121"/>
      <c r="W163" s="140" t="str">
        <f>IFERROR(Table13[[#This Row],[Mtr_Net_Exp (KWh)]]/(24*AR163*1000),"")</f>
        <v/>
      </c>
      <c r="X163" s="121" t="str">
        <f>IFERROR(_xlfn.XLOOKUP($A163,Input_Raw!$A:$A,Input_Raw!$CF:$CF),"")</f>
        <v/>
      </c>
      <c r="Y163" s="121" t="str">
        <f>IFERROR(_xlfn.XLOOKUP($A163,Input_Raw!$A:$A,Input_Raw!$CZ:$CZ),"")</f>
        <v/>
      </c>
      <c r="Z163" s="121" t="str">
        <f>IFERROR(_xlfn.XLOOKUP($A163,Input_Raw!$A:$A,Input_Raw!$DA:$DA),"")</f>
        <v/>
      </c>
      <c r="AA163" s="123" t="str">
        <f t="shared" si="9"/>
        <v/>
      </c>
      <c r="AB163" s="121" t="str">
        <f>IFERROR(_xlfn.XLOOKUP($A163,Input_Raw!$A:$A,Input_Raw!$DG:$DG),"")</f>
        <v/>
      </c>
      <c r="AC163" s="141">
        <f>IFERROR(_xlfn.XLOOKUP($D163,'Modelling New'!$D:$D,'Modelling New'!$J:$J),"")</f>
        <v>5.0333333333333332</v>
      </c>
      <c r="AD163" s="123">
        <f>IFERROR(_xlfn.XLOOKUP($D163,'Modelling New'!$D:$D,'Modelling New'!$T:$T)*1000,"")</f>
        <v>279529.73373197042</v>
      </c>
      <c r="AE163" s="140"/>
      <c r="AF163" s="140">
        <f>IFERROR(_xlfn.XLOOKUP($D163,'Modelling New'!$D:$D,'Modelling New'!$W:$W),"")</f>
        <v>0.14932143895938593</v>
      </c>
      <c r="AG163" s="140">
        <f>IFERROR(_xlfn.XLOOKUP($D163,'Modelling New'!$D:$D,'Modelling New'!$AE:$AE),"")</f>
        <v>0.96029999999999993</v>
      </c>
      <c r="AH163" s="140">
        <f>IFERROR(_xlfn.XLOOKUP($D163,'Modelling New'!$D:$D,'Modelling New'!$AF:$AF),"")</f>
        <v>0.995</v>
      </c>
      <c r="AI163" s="121" t="str">
        <f>IFERROR(_xlfn.XLOOKUP($A163,Input_Raw!$A:$A,Input_Raw!$DE:$DE),"")</f>
        <v/>
      </c>
      <c r="AJ163" s="121"/>
      <c r="AK163" s="121"/>
      <c r="AL163" s="121"/>
      <c r="AM163" s="121"/>
      <c r="AN163" s="142" t="str">
        <f>IFERROR(_xlfn.XLOOKUP($A163,Input_Raw!$A:$A,Input_Raw!$DB:$DB),"")</f>
        <v/>
      </c>
      <c r="AO163" s="140" t="str">
        <f>IFERROR((_xlfn.XLOOKUP($A163,'WTG Reactive Power'!$A:$A,'WTG Reactive Power'!$AR:$AR))/X163/1000,"")</f>
        <v/>
      </c>
      <c r="AP163" s="140">
        <f>IFERROR(_xlfn.XLOOKUP($D163,'Modelling New'!$D:$D,'Modelling New'!$AK:$AK),"")</f>
        <v>0.05</v>
      </c>
      <c r="AQ163" s="140">
        <f>IFERROR(_xlfn.XLOOKUP($D163,'Modelling New'!$D:$D,'Modelling New'!$AL:$AL),"")</f>
        <v>0.05</v>
      </c>
      <c r="AR163">
        <f>IFERROR(_xlfn.XLOOKUP($D163,'Modelling New'!$D:$D,'Modelling New'!$N:$N),"")</f>
        <v>78</v>
      </c>
    </row>
    <row r="164" spans="1:44">
      <c r="A164" s="134">
        <f t="shared" si="11"/>
        <v>45907</v>
      </c>
      <c r="B164" s="123">
        <f>YEAR(Table13[[#This Row],[Date]])+IF(MONTH(Table13[[#This Row],[Date]])&gt;=4,1,0)</f>
        <v>2026</v>
      </c>
      <c r="C164" s="121">
        <f>YEAR(Table13[[#This Row],[Date]])</f>
        <v>2025</v>
      </c>
      <c r="D164" s="135">
        <f>Table13[[#This Row],[Date]]-DAY(Table13[[#This Row],[Date]])+1</f>
        <v>45901</v>
      </c>
      <c r="E164" s="121">
        <f t="shared" ref="E164:E190" si="12">DAY(EOMONTH(A164,0))</f>
        <v>30</v>
      </c>
      <c r="F164" s="124"/>
      <c r="G164" s="125"/>
      <c r="H164" s="125"/>
      <c r="I164" s="125"/>
      <c r="J164" s="125"/>
      <c r="K164" s="136"/>
      <c r="L164" s="125"/>
      <c r="M164" s="125" t="str">
        <f>IFERROR(_xlfn.XLOOKUP($A164,Input_Raw!$A:$A,Input_Raw!CG:CG),"")</f>
        <v/>
      </c>
      <c r="N164" s="125" t="str">
        <f>IFERROR(_xlfn.XLOOKUP($A164,Input_Raw!$A:$A,Input_Raw!CH:CH),"")</f>
        <v/>
      </c>
      <c r="O164" s="137" t="str">
        <f t="shared" si="10"/>
        <v/>
      </c>
      <c r="P164" s="137" t="str">
        <f>IFERROR(1-SUMIF(WTG_BD!$F:$F,$A164,WTG_BD!$AA:$AA)/($AA164+SUMIF(WTG_BD!$F:$F,$A164,WTG_BD!$AA:$AA)),"")</f>
        <v/>
      </c>
      <c r="Q164" s="138" t="str">
        <f>IFERROR(1-SUMIF(IGA_BD!$F:$F,$A164,IGA_BD!$V:$V)/($AA164+SUMIF(IGA_BD!$F:$F,$A164,IGA_BD!$V:$V)),"")</f>
        <v/>
      </c>
      <c r="R164" s="143" t="str">
        <f>IFERROR(1-SUMIF(Grid_BD!$F:$F,$A164,Grid_BD!$X:$X)/($AA164+SUMIF(Grid_BD!$F:$F,$A164,Grid_BD!$X:$X)),"")</f>
        <v/>
      </c>
      <c r="S164" s="121"/>
      <c r="T164" s="138"/>
      <c r="U164" s="139"/>
      <c r="V164" s="121"/>
      <c r="W164" s="140" t="str">
        <f>IFERROR(Table13[[#This Row],[Mtr_Net_Exp (KWh)]]/(24*AR164*1000),"")</f>
        <v/>
      </c>
      <c r="X164" s="121" t="str">
        <f>IFERROR(_xlfn.XLOOKUP($A164,Input_Raw!$A:$A,Input_Raw!$CF:$CF),"")</f>
        <v/>
      </c>
      <c r="Y164" s="121" t="str">
        <f>IFERROR(_xlfn.XLOOKUP($A164,Input_Raw!$A:$A,Input_Raw!$CZ:$CZ),"")</f>
        <v/>
      </c>
      <c r="Z164" s="121" t="str">
        <f>IFERROR(_xlfn.XLOOKUP($A164,Input_Raw!$A:$A,Input_Raw!$DA:$DA),"")</f>
        <v/>
      </c>
      <c r="AA164" s="123" t="str">
        <f t="shared" ref="AA164:AA190" si="13">IFERROR(Y164-Z164,"")</f>
        <v/>
      </c>
      <c r="AB164" s="121" t="str">
        <f>IFERROR(_xlfn.XLOOKUP($A164,Input_Raw!$A:$A,Input_Raw!$DG:$DG),"")</f>
        <v/>
      </c>
      <c r="AC164" s="141">
        <f>IFERROR(_xlfn.XLOOKUP($D164,'Modelling New'!$D:$D,'Modelling New'!$J:$J),"")</f>
        <v>5.0333333333333332</v>
      </c>
      <c r="AD164" s="123">
        <f>IFERROR(_xlfn.XLOOKUP($D164,'Modelling New'!$D:$D,'Modelling New'!$T:$T)*1000,"")</f>
        <v>279529.73373197042</v>
      </c>
      <c r="AE164" s="140"/>
      <c r="AF164" s="140">
        <f>IFERROR(_xlfn.XLOOKUP($D164,'Modelling New'!$D:$D,'Modelling New'!$W:$W),"")</f>
        <v>0.14932143895938593</v>
      </c>
      <c r="AG164" s="140">
        <f>IFERROR(_xlfn.XLOOKUP($D164,'Modelling New'!$D:$D,'Modelling New'!$AE:$AE),"")</f>
        <v>0.96029999999999993</v>
      </c>
      <c r="AH164" s="140">
        <f>IFERROR(_xlfn.XLOOKUP($D164,'Modelling New'!$D:$D,'Modelling New'!$AF:$AF),"")</f>
        <v>0.995</v>
      </c>
      <c r="AI164" s="121" t="str">
        <f>IFERROR(_xlfn.XLOOKUP($A164,Input_Raw!$A:$A,Input_Raw!$DE:$DE),"")</f>
        <v/>
      </c>
      <c r="AJ164" s="121"/>
      <c r="AK164" s="121"/>
      <c r="AL164" s="121"/>
      <c r="AM164" s="121"/>
      <c r="AN164" s="142" t="str">
        <f>IFERROR(_xlfn.XLOOKUP($A164,Input_Raw!$A:$A,Input_Raw!$DB:$DB),"")</f>
        <v/>
      </c>
      <c r="AO164" s="140" t="str">
        <f>IFERROR((_xlfn.XLOOKUP($A164,'WTG Reactive Power'!$A:$A,'WTG Reactive Power'!$AR:$AR))/X164/1000,"")</f>
        <v/>
      </c>
      <c r="AP164" s="140">
        <f>IFERROR(_xlfn.XLOOKUP($D164,'Modelling New'!$D:$D,'Modelling New'!$AK:$AK),"")</f>
        <v>0.05</v>
      </c>
      <c r="AQ164" s="140">
        <f>IFERROR(_xlfn.XLOOKUP($D164,'Modelling New'!$D:$D,'Modelling New'!$AL:$AL),"")</f>
        <v>0.05</v>
      </c>
      <c r="AR164">
        <f>IFERROR(_xlfn.XLOOKUP($D164,'Modelling New'!$D:$D,'Modelling New'!$N:$N),"")</f>
        <v>78</v>
      </c>
    </row>
    <row r="165" spans="1:44">
      <c r="A165" s="134">
        <f t="shared" si="11"/>
        <v>45908</v>
      </c>
      <c r="B165" s="123">
        <f>YEAR(Table13[[#This Row],[Date]])+IF(MONTH(Table13[[#This Row],[Date]])&gt;=4,1,0)</f>
        <v>2026</v>
      </c>
      <c r="C165" s="121">
        <f>YEAR(Table13[[#This Row],[Date]])</f>
        <v>2025</v>
      </c>
      <c r="D165" s="135">
        <f>Table13[[#This Row],[Date]]-DAY(Table13[[#This Row],[Date]])+1</f>
        <v>45901</v>
      </c>
      <c r="E165" s="121">
        <f t="shared" si="12"/>
        <v>30</v>
      </c>
      <c r="F165" s="124"/>
      <c r="G165" s="125"/>
      <c r="H165" s="125"/>
      <c r="I165" s="125"/>
      <c r="J165" s="125"/>
      <c r="K165" s="136"/>
      <c r="L165" s="125"/>
      <c r="M165" s="125" t="str">
        <f>IFERROR(_xlfn.XLOOKUP($A165,Input_Raw!$A:$A,Input_Raw!CG:CG),"")</f>
        <v/>
      </c>
      <c r="N165" s="125" t="str">
        <f>IFERROR(_xlfn.XLOOKUP($A165,Input_Raw!$A:$A,Input_Raw!CH:CH),"")</f>
        <v/>
      </c>
      <c r="O165" s="137" t="str">
        <f t="shared" ref="O165:O190" si="14">IFERROR(P165*Q165,"")</f>
        <v/>
      </c>
      <c r="P165" s="137" t="str">
        <f>IFERROR(1-SUMIF(WTG_BD!$F:$F,$A165,WTG_BD!$AA:$AA)/($AA165+SUMIF(WTG_BD!$F:$F,$A165,WTG_BD!$AA:$AA)),"")</f>
        <v/>
      </c>
      <c r="Q165" s="138" t="str">
        <f>IFERROR(1-SUMIF(IGA_BD!$F:$F,$A165,IGA_BD!$V:$V)/($AA165+SUMIF(IGA_BD!$F:$F,$A165,IGA_BD!$V:$V)),"")</f>
        <v/>
      </c>
      <c r="R165" s="143" t="str">
        <f>IFERROR(1-SUMIF(Grid_BD!$F:$F,$A165,Grid_BD!$X:$X)/($AA165+SUMIF(Grid_BD!$F:$F,$A165,Grid_BD!$X:$X)),"")</f>
        <v/>
      </c>
      <c r="S165" s="121"/>
      <c r="T165" s="138"/>
      <c r="U165" s="139"/>
      <c r="V165" s="121"/>
      <c r="W165" s="140" t="str">
        <f>IFERROR(Table13[[#This Row],[Mtr_Net_Exp (KWh)]]/(24*AR165*1000),"")</f>
        <v/>
      </c>
      <c r="X165" s="121" t="str">
        <f>IFERROR(_xlfn.XLOOKUP($A165,Input_Raw!$A:$A,Input_Raw!$CF:$CF),"")</f>
        <v/>
      </c>
      <c r="Y165" s="121" t="str">
        <f>IFERROR(_xlfn.XLOOKUP($A165,Input_Raw!$A:$A,Input_Raw!$CZ:$CZ),"")</f>
        <v/>
      </c>
      <c r="Z165" s="121" t="str">
        <f>IFERROR(_xlfn.XLOOKUP($A165,Input_Raw!$A:$A,Input_Raw!$DA:$DA),"")</f>
        <v/>
      </c>
      <c r="AA165" s="123" t="str">
        <f t="shared" si="13"/>
        <v/>
      </c>
      <c r="AB165" s="121" t="str">
        <f>IFERROR(_xlfn.XLOOKUP($A165,Input_Raw!$A:$A,Input_Raw!$DG:$DG),"")</f>
        <v/>
      </c>
      <c r="AC165" s="141">
        <f>IFERROR(_xlfn.XLOOKUP($D165,'Modelling New'!$D:$D,'Modelling New'!$J:$J),"")</f>
        <v>5.0333333333333332</v>
      </c>
      <c r="AD165" s="123">
        <f>IFERROR(_xlfn.XLOOKUP($D165,'Modelling New'!$D:$D,'Modelling New'!$T:$T)*1000,"")</f>
        <v>279529.73373197042</v>
      </c>
      <c r="AE165" s="140"/>
      <c r="AF165" s="140">
        <f>IFERROR(_xlfn.XLOOKUP($D165,'Modelling New'!$D:$D,'Modelling New'!$W:$W),"")</f>
        <v>0.14932143895938593</v>
      </c>
      <c r="AG165" s="140">
        <f>IFERROR(_xlfn.XLOOKUP($D165,'Modelling New'!$D:$D,'Modelling New'!$AE:$AE),"")</f>
        <v>0.96029999999999993</v>
      </c>
      <c r="AH165" s="140">
        <f>IFERROR(_xlfn.XLOOKUP($D165,'Modelling New'!$D:$D,'Modelling New'!$AF:$AF),"")</f>
        <v>0.995</v>
      </c>
      <c r="AI165" s="121" t="str">
        <f>IFERROR(_xlfn.XLOOKUP($A165,Input_Raw!$A:$A,Input_Raw!$DE:$DE),"")</f>
        <v/>
      </c>
      <c r="AJ165" s="121"/>
      <c r="AK165" s="121"/>
      <c r="AL165" s="121"/>
      <c r="AM165" s="121"/>
      <c r="AN165" s="142" t="str">
        <f>IFERROR(_xlfn.XLOOKUP($A165,Input_Raw!$A:$A,Input_Raw!$DB:$DB),"")</f>
        <v/>
      </c>
      <c r="AO165" s="140" t="str">
        <f>IFERROR((_xlfn.XLOOKUP($A165,'WTG Reactive Power'!$A:$A,'WTG Reactive Power'!$AR:$AR))/X165/1000,"")</f>
        <v/>
      </c>
      <c r="AP165" s="140">
        <f>IFERROR(_xlfn.XLOOKUP($D165,'Modelling New'!$D:$D,'Modelling New'!$AK:$AK),"")</f>
        <v>0.05</v>
      </c>
      <c r="AQ165" s="140">
        <f>IFERROR(_xlfn.XLOOKUP($D165,'Modelling New'!$D:$D,'Modelling New'!$AL:$AL),"")</f>
        <v>0.05</v>
      </c>
      <c r="AR165">
        <f>IFERROR(_xlfn.XLOOKUP($D165,'Modelling New'!$D:$D,'Modelling New'!$N:$N),"")</f>
        <v>78</v>
      </c>
    </row>
    <row r="166" spans="1:44">
      <c r="A166" s="134">
        <f t="shared" ref="A166:A229" si="15">A165+1</f>
        <v>45909</v>
      </c>
      <c r="B166" s="123">
        <f>YEAR(Table13[[#This Row],[Date]])+IF(MONTH(Table13[[#This Row],[Date]])&gt;=4,1,0)</f>
        <v>2026</v>
      </c>
      <c r="C166" s="121">
        <f>YEAR(Table13[[#This Row],[Date]])</f>
        <v>2025</v>
      </c>
      <c r="D166" s="135">
        <f>Table13[[#This Row],[Date]]-DAY(Table13[[#This Row],[Date]])+1</f>
        <v>45901</v>
      </c>
      <c r="E166" s="121">
        <f t="shared" si="12"/>
        <v>30</v>
      </c>
      <c r="F166" s="124"/>
      <c r="G166" s="125"/>
      <c r="H166" s="125"/>
      <c r="I166" s="125"/>
      <c r="J166" s="125"/>
      <c r="K166" s="136"/>
      <c r="L166" s="125"/>
      <c r="M166" s="125" t="str">
        <f>IFERROR(_xlfn.XLOOKUP($A166,Input_Raw!$A:$A,Input_Raw!CG:CG),"")</f>
        <v/>
      </c>
      <c r="N166" s="125" t="str">
        <f>IFERROR(_xlfn.XLOOKUP($A166,Input_Raw!$A:$A,Input_Raw!CH:CH),"")</f>
        <v/>
      </c>
      <c r="O166" s="137" t="str">
        <f t="shared" si="14"/>
        <v/>
      </c>
      <c r="P166" s="137" t="str">
        <f>IFERROR(1-SUMIF(WTG_BD!$F:$F,$A166,WTG_BD!$AA:$AA)/($AA166+SUMIF(WTG_BD!$F:$F,$A166,WTG_BD!$AA:$AA)),"")</f>
        <v/>
      </c>
      <c r="Q166" s="138" t="str">
        <f>IFERROR(1-SUMIF(IGA_BD!$F:$F,$A166,IGA_BD!$V:$V)/($AA166+SUMIF(IGA_BD!$F:$F,$A166,IGA_BD!$V:$V)),"")</f>
        <v/>
      </c>
      <c r="R166" s="143" t="str">
        <f>IFERROR(1-SUMIF(Grid_BD!$F:$F,$A166,Grid_BD!$X:$X)/($AA166+SUMIF(Grid_BD!$F:$F,$A166,Grid_BD!$X:$X)),"")</f>
        <v/>
      </c>
      <c r="S166" s="121"/>
      <c r="T166" s="138"/>
      <c r="U166" s="139"/>
      <c r="V166" s="121"/>
      <c r="W166" s="140" t="str">
        <f>IFERROR(Table13[[#This Row],[Mtr_Net_Exp (KWh)]]/(24*AR166*1000),"")</f>
        <v/>
      </c>
      <c r="X166" s="121" t="str">
        <f>IFERROR(_xlfn.XLOOKUP($A166,Input_Raw!$A:$A,Input_Raw!$CF:$CF),"")</f>
        <v/>
      </c>
      <c r="Y166" s="121" t="str">
        <f>IFERROR(_xlfn.XLOOKUP($A166,Input_Raw!$A:$A,Input_Raw!$CZ:$CZ),"")</f>
        <v/>
      </c>
      <c r="Z166" s="121" t="str">
        <f>IFERROR(_xlfn.XLOOKUP($A166,Input_Raw!$A:$A,Input_Raw!$DA:$DA),"")</f>
        <v/>
      </c>
      <c r="AA166" s="123" t="str">
        <f t="shared" si="13"/>
        <v/>
      </c>
      <c r="AB166" s="121" t="str">
        <f>IFERROR(_xlfn.XLOOKUP($A166,Input_Raw!$A:$A,Input_Raw!$DG:$DG),"")</f>
        <v/>
      </c>
      <c r="AC166" s="141">
        <f>IFERROR(_xlfn.XLOOKUP($D166,'Modelling New'!$D:$D,'Modelling New'!$J:$J),"")</f>
        <v>5.0333333333333332</v>
      </c>
      <c r="AD166" s="123">
        <f>IFERROR(_xlfn.XLOOKUP($D166,'Modelling New'!$D:$D,'Modelling New'!$T:$T)*1000,"")</f>
        <v>279529.73373197042</v>
      </c>
      <c r="AE166" s="140"/>
      <c r="AF166" s="140">
        <f>IFERROR(_xlfn.XLOOKUP($D166,'Modelling New'!$D:$D,'Modelling New'!$W:$W),"")</f>
        <v>0.14932143895938593</v>
      </c>
      <c r="AG166" s="140">
        <f>IFERROR(_xlfn.XLOOKUP($D166,'Modelling New'!$D:$D,'Modelling New'!$AE:$AE),"")</f>
        <v>0.96029999999999993</v>
      </c>
      <c r="AH166" s="140">
        <f>IFERROR(_xlfn.XLOOKUP($D166,'Modelling New'!$D:$D,'Modelling New'!$AF:$AF),"")</f>
        <v>0.995</v>
      </c>
      <c r="AI166" s="121" t="str">
        <f>IFERROR(_xlfn.XLOOKUP($A166,Input_Raw!$A:$A,Input_Raw!$DE:$DE),"")</f>
        <v/>
      </c>
      <c r="AJ166" s="121"/>
      <c r="AK166" s="121"/>
      <c r="AL166" s="121"/>
      <c r="AM166" s="121"/>
      <c r="AN166" s="142" t="str">
        <f>IFERROR(_xlfn.XLOOKUP($A166,Input_Raw!$A:$A,Input_Raw!$DB:$DB),"")</f>
        <v/>
      </c>
      <c r="AO166" s="140" t="str">
        <f>IFERROR((_xlfn.XLOOKUP($A166,'WTG Reactive Power'!$A:$A,'WTG Reactive Power'!$AR:$AR))/X166/1000,"")</f>
        <v/>
      </c>
      <c r="AP166" s="140">
        <f>IFERROR(_xlfn.XLOOKUP($D166,'Modelling New'!$D:$D,'Modelling New'!$AK:$AK),"")</f>
        <v>0.05</v>
      </c>
      <c r="AQ166" s="140">
        <f>IFERROR(_xlfn.XLOOKUP($D166,'Modelling New'!$D:$D,'Modelling New'!$AL:$AL),"")</f>
        <v>0.05</v>
      </c>
      <c r="AR166">
        <f>IFERROR(_xlfn.XLOOKUP($D166,'Modelling New'!$D:$D,'Modelling New'!$N:$N),"")</f>
        <v>78</v>
      </c>
    </row>
    <row r="167" spans="1:44">
      <c r="A167" s="134">
        <f t="shared" si="15"/>
        <v>45910</v>
      </c>
      <c r="B167" s="123">
        <f>YEAR(Table13[[#This Row],[Date]])+IF(MONTH(Table13[[#This Row],[Date]])&gt;=4,1,0)</f>
        <v>2026</v>
      </c>
      <c r="C167" s="121">
        <f>YEAR(Table13[[#This Row],[Date]])</f>
        <v>2025</v>
      </c>
      <c r="D167" s="135">
        <f>Table13[[#This Row],[Date]]-DAY(Table13[[#This Row],[Date]])+1</f>
        <v>45901</v>
      </c>
      <c r="E167" s="121">
        <f t="shared" si="12"/>
        <v>30</v>
      </c>
      <c r="F167" s="124"/>
      <c r="G167" s="125"/>
      <c r="H167" s="125"/>
      <c r="I167" s="125"/>
      <c r="J167" s="125"/>
      <c r="K167" s="136"/>
      <c r="L167" s="125"/>
      <c r="M167" s="125" t="str">
        <f>IFERROR(_xlfn.XLOOKUP($A167,Input_Raw!$A:$A,Input_Raw!CG:CG),"")</f>
        <v/>
      </c>
      <c r="N167" s="125" t="str">
        <f>IFERROR(_xlfn.XLOOKUP($A167,Input_Raw!$A:$A,Input_Raw!CH:CH),"")</f>
        <v/>
      </c>
      <c r="O167" s="137" t="str">
        <f t="shared" si="14"/>
        <v/>
      </c>
      <c r="P167" s="137" t="str">
        <f>IFERROR(1-SUMIF(WTG_BD!$F:$F,$A167,WTG_BD!$AA:$AA)/($AA167+SUMIF(WTG_BD!$F:$F,$A167,WTG_BD!$AA:$AA)),"")</f>
        <v/>
      </c>
      <c r="Q167" s="138" t="str">
        <f>IFERROR(1-SUMIF(IGA_BD!$F:$F,$A167,IGA_BD!$V:$V)/($AA167+SUMIF(IGA_BD!$F:$F,$A167,IGA_BD!$V:$V)),"")</f>
        <v/>
      </c>
      <c r="R167" s="143" t="str">
        <f>IFERROR(1-SUMIF(Grid_BD!$F:$F,$A167,Grid_BD!$X:$X)/($AA167+SUMIF(Grid_BD!$F:$F,$A167,Grid_BD!$X:$X)),"")</f>
        <v/>
      </c>
      <c r="S167" s="121"/>
      <c r="T167" s="138"/>
      <c r="U167" s="139"/>
      <c r="V167" s="121"/>
      <c r="W167" s="140" t="str">
        <f>IFERROR(Table13[[#This Row],[Mtr_Net_Exp (KWh)]]/(24*AR167*1000),"")</f>
        <v/>
      </c>
      <c r="X167" s="121" t="str">
        <f>IFERROR(_xlfn.XLOOKUP($A167,Input_Raw!$A:$A,Input_Raw!$CF:$CF),"")</f>
        <v/>
      </c>
      <c r="Y167" s="121" t="str">
        <f>IFERROR(_xlfn.XLOOKUP($A167,Input_Raw!$A:$A,Input_Raw!$CZ:$CZ),"")</f>
        <v/>
      </c>
      <c r="Z167" s="121" t="str">
        <f>IFERROR(_xlfn.XLOOKUP($A167,Input_Raw!$A:$A,Input_Raw!$DA:$DA),"")</f>
        <v/>
      </c>
      <c r="AA167" s="123" t="str">
        <f t="shared" si="13"/>
        <v/>
      </c>
      <c r="AB167" s="121" t="str">
        <f>IFERROR(_xlfn.XLOOKUP($A167,Input_Raw!$A:$A,Input_Raw!$DG:$DG),"")</f>
        <v/>
      </c>
      <c r="AC167" s="141">
        <f>IFERROR(_xlfn.XLOOKUP($D167,'Modelling New'!$D:$D,'Modelling New'!$J:$J),"")</f>
        <v>5.0333333333333332</v>
      </c>
      <c r="AD167" s="123">
        <f>IFERROR(_xlfn.XLOOKUP($D167,'Modelling New'!$D:$D,'Modelling New'!$T:$T)*1000,"")</f>
        <v>279529.73373197042</v>
      </c>
      <c r="AE167" s="140"/>
      <c r="AF167" s="140">
        <f>IFERROR(_xlfn.XLOOKUP($D167,'Modelling New'!$D:$D,'Modelling New'!$W:$W),"")</f>
        <v>0.14932143895938593</v>
      </c>
      <c r="AG167" s="140">
        <f>IFERROR(_xlfn.XLOOKUP($D167,'Modelling New'!$D:$D,'Modelling New'!$AE:$AE),"")</f>
        <v>0.96029999999999993</v>
      </c>
      <c r="AH167" s="140">
        <f>IFERROR(_xlfn.XLOOKUP($D167,'Modelling New'!$D:$D,'Modelling New'!$AF:$AF),"")</f>
        <v>0.995</v>
      </c>
      <c r="AI167" s="121" t="str">
        <f>IFERROR(_xlfn.XLOOKUP($A167,Input_Raw!$A:$A,Input_Raw!$DE:$DE),"")</f>
        <v/>
      </c>
      <c r="AJ167" s="121"/>
      <c r="AK167" s="121"/>
      <c r="AL167" s="121"/>
      <c r="AM167" s="121"/>
      <c r="AN167" s="142" t="str">
        <f>IFERROR(_xlfn.XLOOKUP($A167,Input_Raw!$A:$A,Input_Raw!$DB:$DB),"")</f>
        <v/>
      </c>
      <c r="AO167" s="140" t="str">
        <f>IFERROR((_xlfn.XLOOKUP($A167,'WTG Reactive Power'!$A:$A,'WTG Reactive Power'!$AR:$AR))/X167/1000,"")</f>
        <v/>
      </c>
      <c r="AP167" s="140">
        <f>IFERROR(_xlfn.XLOOKUP($D167,'Modelling New'!$D:$D,'Modelling New'!$AK:$AK),"")</f>
        <v>0.05</v>
      </c>
      <c r="AQ167" s="140">
        <f>IFERROR(_xlfn.XLOOKUP($D167,'Modelling New'!$D:$D,'Modelling New'!$AL:$AL),"")</f>
        <v>0.05</v>
      </c>
      <c r="AR167">
        <f>IFERROR(_xlfn.XLOOKUP($D167,'Modelling New'!$D:$D,'Modelling New'!$N:$N),"")</f>
        <v>78</v>
      </c>
    </row>
    <row r="168" spans="1:44">
      <c r="A168" s="134">
        <f t="shared" si="15"/>
        <v>45911</v>
      </c>
      <c r="B168" s="123">
        <f>YEAR(Table13[[#This Row],[Date]])+IF(MONTH(Table13[[#This Row],[Date]])&gt;=4,1,0)</f>
        <v>2026</v>
      </c>
      <c r="C168" s="121">
        <f>YEAR(Table13[[#This Row],[Date]])</f>
        <v>2025</v>
      </c>
      <c r="D168" s="135">
        <f>Table13[[#This Row],[Date]]-DAY(Table13[[#This Row],[Date]])+1</f>
        <v>45901</v>
      </c>
      <c r="E168" s="121">
        <f t="shared" si="12"/>
        <v>30</v>
      </c>
      <c r="F168" s="124"/>
      <c r="G168" s="125"/>
      <c r="H168" s="125"/>
      <c r="I168" s="125"/>
      <c r="J168" s="125"/>
      <c r="K168" s="136"/>
      <c r="L168" s="125"/>
      <c r="M168" s="125" t="str">
        <f>IFERROR(_xlfn.XLOOKUP($A168,Input_Raw!$A:$A,Input_Raw!CG:CG),"")</f>
        <v/>
      </c>
      <c r="N168" s="125" t="str">
        <f>IFERROR(_xlfn.XLOOKUP($A168,Input_Raw!$A:$A,Input_Raw!CH:CH),"")</f>
        <v/>
      </c>
      <c r="O168" s="137" t="str">
        <f t="shared" si="14"/>
        <v/>
      </c>
      <c r="P168" s="137" t="str">
        <f>IFERROR(1-SUMIF(WTG_BD!$F:$F,$A168,WTG_BD!$AA:$AA)/($AA168+SUMIF(WTG_BD!$F:$F,$A168,WTG_BD!$AA:$AA)),"")</f>
        <v/>
      </c>
      <c r="Q168" s="138" t="str">
        <f>IFERROR(1-SUMIF(IGA_BD!$F:$F,$A168,IGA_BD!$V:$V)/($AA168+SUMIF(IGA_BD!$F:$F,$A168,IGA_BD!$V:$V)),"")</f>
        <v/>
      </c>
      <c r="R168" s="143" t="str">
        <f>IFERROR(1-SUMIF(Grid_BD!$F:$F,$A168,Grid_BD!$X:$X)/($AA168+SUMIF(Grid_BD!$F:$F,$A168,Grid_BD!$X:$X)),"")</f>
        <v/>
      </c>
      <c r="S168" s="121"/>
      <c r="T168" s="138"/>
      <c r="U168" s="139"/>
      <c r="V168" s="121"/>
      <c r="W168" s="140" t="str">
        <f>IFERROR(Table13[[#This Row],[Mtr_Net_Exp (KWh)]]/(24*AR168*1000),"")</f>
        <v/>
      </c>
      <c r="X168" s="121" t="str">
        <f>IFERROR(_xlfn.XLOOKUP($A168,Input_Raw!$A:$A,Input_Raw!$CF:$CF),"")</f>
        <v/>
      </c>
      <c r="Y168" s="121" t="str">
        <f>IFERROR(_xlfn.XLOOKUP($A168,Input_Raw!$A:$A,Input_Raw!$CZ:$CZ),"")</f>
        <v/>
      </c>
      <c r="Z168" s="121" t="str">
        <f>IFERROR(_xlfn.XLOOKUP($A168,Input_Raw!$A:$A,Input_Raw!$DA:$DA),"")</f>
        <v/>
      </c>
      <c r="AA168" s="123" t="str">
        <f t="shared" si="13"/>
        <v/>
      </c>
      <c r="AB168" s="121" t="str">
        <f>IFERROR(_xlfn.XLOOKUP($A168,Input_Raw!$A:$A,Input_Raw!$DG:$DG),"")</f>
        <v/>
      </c>
      <c r="AC168" s="141">
        <f>IFERROR(_xlfn.XLOOKUP($D168,'Modelling New'!$D:$D,'Modelling New'!$J:$J),"")</f>
        <v>5.0333333333333332</v>
      </c>
      <c r="AD168" s="123">
        <f>IFERROR(_xlfn.XLOOKUP($D168,'Modelling New'!$D:$D,'Modelling New'!$T:$T)*1000,"")</f>
        <v>279529.73373197042</v>
      </c>
      <c r="AE168" s="140"/>
      <c r="AF168" s="140">
        <f>IFERROR(_xlfn.XLOOKUP($D168,'Modelling New'!$D:$D,'Modelling New'!$W:$W),"")</f>
        <v>0.14932143895938593</v>
      </c>
      <c r="AG168" s="140">
        <f>IFERROR(_xlfn.XLOOKUP($D168,'Modelling New'!$D:$D,'Modelling New'!$AE:$AE),"")</f>
        <v>0.96029999999999993</v>
      </c>
      <c r="AH168" s="140">
        <f>IFERROR(_xlfn.XLOOKUP($D168,'Modelling New'!$D:$D,'Modelling New'!$AF:$AF),"")</f>
        <v>0.995</v>
      </c>
      <c r="AI168" s="121" t="str">
        <f>IFERROR(_xlfn.XLOOKUP($A168,Input_Raw!$A:$A,Input_Raw!$DE:$DE),"")</f>
        <v/>
      </c>
      <c r="AJ168" s="121"/>
      <c r="AK168" s="121"/>
      <c r="AL168" s="121"/>
      <c r="AM168" s="121"/>
      <c r="AN168" s="142" t="str">
        <f>IFERROR(_xlfn.XLOOKUP($A168,Input_Raw!$A:$A,Input_Raw!$DB:$DB),"")</f>
        <v/>
      </c>
      <c r="AO168" s="140" t="str">
        <f>IFERROR((_xlfn.XLOOKUP($A168,'WTG Reactive Power'!$A:$A,'WTG Reactive Power'!$AR:$AR))/X168/1000,"")</f>
        <v/>
      </c>
      <c r="AP168" s="140">
        <f>IFERROR(_xlfn.XLOOKUP($D168,'Modelling New'!$D:$D,'Modelling New'!$AK:$AK),"")</f>
        <v>0.05</v>
      </c>
      <c r="AQ168" s="140">
        <f>IFERROR(_xlfn.XLOOKUP($D168,'Modelling New'!$D:$D,'Modelling New'!$AL:$AL),"")</f>
        <v>0.05</v>
      </c>
      <c r="AR168">
        <f>IFERROR(_xlfn.XLOOKUP($D168,'Modelling New'!$D:$D,'Modelling New'!$N:$N),"")</f>
        <v>78</v>
      </c>
    </row>
    <row r="169" spans="1:44">
      <c r="A169" s="134">
        <f t="shared" si="15"/>
        <v>45912</v>
      </c>
      <c r="B169" s="123">
        <f>YEAR(Table13[[#This Row],[Date]])+IF(MONTH(Table13[[#This Row],[Date]])&gt;=4,1,0)</f>
        <v>2026</v>
      </c>
      <c r="C169" s="121">
        <f>YEAR(Table13[[#This Row],[Date]])</f>
        <v>2025</v>
      </c>
      <c r="D169" s="135">
        <f>Table13[[#This Row],[Date]]-DAY(Table13[[#This Row],[Date]])+1</f>
        <v>45901</v>
      </c>
      <c r="E169" s="121">
        <f t="shared" si="12"/>
        <v>30</v>
      </c>
      <c r="F169" s="124"/>
      <c r="G169" s="125"/>
      <c r="H169" s="125"/>
      <c r="I169" s="125"/>
      <c r="J169" s="125"/>
      <c r="K169" s="136"/>
      <c r="L169" s="125"/>
      <c r="M169" s="125" t="str">
        <f>IFERROR(_xlfn.XLOOKUP($A169,Input_Raw!$A:$A,Input_Raw!CG:CG),"")</f>
        <v/>
      </c>
      <c r="N169" s="125" t="str">
        <f>IFERROR(_xlfn.XLOOKUP($A169,Input_Raw!$A:$A,Input_Raw!CH:CH),"")</f>
        <v/>
      </c>
      <c r="O169" s="137" t="str">
        <f t="shared" si="14"/>
        <v/>
      </c>
      <c r="P169" s="137" t="str">
        <f>IFERROR(1-SUMIF(WTG_BD!$F:$F,$A169,WTG_BD!$AA:$AA)/($AA169+SUMIF(WTG_BD!$F:$F,$A169,WTG_BD!$AA:$AA)),"")</f>
        <v/>
      </c>
      <c r="Q169" s="138" t="str">
        <f>IFERROR(1-SUMIF(IGA_BD!$F:$F,$A169,IGA_BD!$V:$V)/($AA169+SUMIF(IGA_BD!$F:$F,$A169,IGA_BD!$V:$V)),"")</f>
        <v/>
      </c>
      <c r="R169" s="143" t="str">
        <f>IFERROR(1-SUMIF(Grid_BD!$F:$F,$A169,Grid_BD!$X:$X)/($AA169+SUMIF(Grid_BD!$F:$F,$A169,Grid_BD!$X:$X)),"")</f>
        <v/>
      </c>
      <c r="S169" s="121"/>
      <c r="T169" s="138"/>
      <c r="U169" s="139"/>
      <c r="V169" s="121"/>
      <c r="W169" s="140" t="str">
        <f>IFERROR(Table13[[#This Row],[Mtr_Net_Exp (KWh)]]/(24*AR169*1000),"")</f>
        <v/>
      </c>
      <c r="X169" s="121" t="str">
        <f>IFERROR(_xlfn.XLOOKUP($A169,Input_Raw!$A:$A,Input_Raw!$CF:$CF),"")</f>
        <v/>
      </c>
      <c r="Y169" s="121" t="str">
        <f>IFERROR(_xlfn.XLOOKUP($A169,Input_Raw!$A:$A,Input_Raw!$CZ:$CZ),"")</f>
        <v/>
      </c>
      <c r="Z169" s="121" t="str">
        <f>IFERROR(_xlfn.XLOOKUP($A169,Input_Raw!$A:$A,Input_Raw!$DA:$DA),"")</f>
        <v/>
      </c>
      <c r="AA169" s="123" t="str">
        <f t="shared" si="13"/>
        <v/>
      </c>
      <c r="AB169" s="121" t="str">
        <f>IFERROR(_xlfn.XLOOKUP($A169,Input_Raw!$A:$A,Input_Raw!$DG:$DG),"")</f>
        <v/>
      </c>
      <c r="AC169" s="141">
        <f>IFERROR(_xlfn.XLOOKUP($D169,'Modelling New'!$D:$D,'Modelling New'!$J:$J),"")</f>
        <v>5.0333333333333332</v>
      </c>
      <c r="AD169" s="123">
        <f>IFERROR(_xlfn.XLOOKUP($D169,'Modelling New'!$D:$D,'Modelling New'!$T:$T)*1000,"")</f>
        <v>279529.73373197042</v>
      </c>
      <c r="AE169" s="140"/>
      <c r="AF169" s="140">
        <f>IFERROR(_xlfn.XLOOKUP($D169,'Modelling New'!$D:$D,'Modelling New'!$W:$W),"")</f>
        <v>0.14932143895938593</v>
      </c>
      <c r="AG169" s="140">
        <f>IFERROR(_xlfn.XLOOKUP($D169,'Modelling New'!$D:$D,'Modelling New'!$AE:$AE),"")</f>
        <v>0.96029999999999993</v>
      </c>
      <c r="AH169" s="140">
        <f>IFERROR(_xlfn.XLOOKUP($D169,'Modelling New'!$D:$D,'Modelling New'!$AF:$AF),"")</f>
        <v>0.995</v>
      </c>
      <c r="AI169" s="121" t="str">
        <f>IFERROR(_xlfn.XLOOKUP($A169,Input_Raw!$A:$A,Input_Raw!$DE:$DE),"")</f>
        <v/>
      </c>
      <c r="AJ169" s="121"/>
      <c r="AK169" s="121"/>
      <c r="AL169" s="121"/>
      <c r="AM169" s="121"/>
      <c r="AN169" s="142" t="str">
        <f>IFERROR(_xlfn.XLOOKUP($A169,Input_Raw!$A:$A,Input_Raw!$DB:$DB),"")</f>
        <v/>
      </c>
      <c r="AO169" s="140" t="str">
        <f>IFERROR((_xlfn.XLOOKUP($A169,'WTG Reactive Power'!$A:$A,'WTG Reactive Power'!$AR:$AR))/X169/1000,"")</f>
        <v/>
      </c>
      <c r="AP169" s="140">
        <f>IFERROR(_xlfn.XLOOKUP($D169,'Modelling New'!$D:$D,'Modelling New'!$AK:$AK),"")</f>
        <v>0.05</v>
      </c>
      <c r="AQ169" s="140">
        <f>IFERROR(_xlfn.XLOOKUP($D169,'Modelling New'!$D:$D,'Modelling New'!$AL:$AL),"")</f>
        <v>0.05</v>
      </c>
      <c r="AR169">
        <f>IFERROR(_xlfn.XLOOKUP($D169,'Modelling New'!$D:$D,'Modelling New'!$N:$N),"")</f>
        <v>78</v>
      </c>
    </row>
    <row r="170" spans="1:44">
      <c r="A170" s="134">
        <f t="shared" si="15"/>
        <v>45913</v>
      </c>
      <c r="B170" s="123">
        <f>YEAR(Table13[[#This Row],[Date]])+IF(MONTH(Table13[[#This Row],[Date]])&gt;=4,1,0)</f>
        <v>2026</v>
      </c>
      <c r="C170" s="121">
        <f>YEAR(Table13[[#This Row],[Date]])</f>
        <v>2025</v>
      </c>
      <c r="D170" s="135">
        <f>Table13[[#This Row],[Date]]-DAY(Table13[[#This Row],[Date]])+1</f>
        <v>45901</v>
      </c>
      <c r="E170" s="121">
        <f t="shared" si="12"/>
        <v>30</v>
      </c>
      <c r="F170" s="124"/>
      <c r="G170" s="125"/>
      <c r="H170" s="125"/>
      <c r="I170" s="125"/>
      <c r="J170" s="125"/>
      <c r="K170" s="136"/>
      <c r="L170" s="125"/>
      <c r="M170" s="125" t="str">
        <f>IFERROR(_xlfn.XLOOKUP($A170,Input_Raw!$A:$A,Input_Raw!CG:CG),"")</f>
        <v/>
      </c>
      <c r="N170" s="125" t="str">
        <f>IFERROR(_xlfn.XLOOKUP($A170,Input_Raw!$A:$A,Input_Raw!CH:CH),"")</f>
        <v/>
      </c>
      <c r="O170" s="137" t="str">
        <f t="shared" si="14"/>
        <v/>
      </c>
      <c r="P170" s="137" t="str">
        <f>IFERROR(1-SUMIF(WTG_BD!$F:$F,$A170,WTG_BD!$AA:$AA)/($AA170+SUMIF(WTG_BD!$F:$F,$A170,WTG_BD!$AA:$AA)),"")</f>
        <v/>
      </c>
      <c r="Q170" s="138" t="str">
        <f>IFERROR(1-SUMIF(IGA_BD!$F:$F,$A170,IGA_BD!$V:$V)/($AA170+SUMIF(IGA_BD!$F:$F,$A170,IGA_BD!$V:$V)),"")</f>
        <v/>
      </c>
      <c r="R170" s="143" t="str">
        <f>IFERROR(1-SUMIF(Grid_BD!$F:$F,$A170,Grid_BD!$X:$X)/($AA170+SUMIF(Grid_BD!$F:$F,$A170,Grid_BD!$X:$X)),"")</f>
        <v/>
      </c>
      <c r="S170" s="121"/>
      <c r="T170" s="138"/>
      <c r="U170" s="139"/>
      <c r="V170" s="121"/>
      <c r="W170" s="140" t="str">
        <f>IFERROR(Table13[[#This Row],[Mtr_Net_Exp (KWh)]]/(24*AR170*1000),"")</f>
        <v/>
      </c>
      <c r="X170" s="121" t="str">
        <f>IFERROR(_xlfn.XLOOKUP($A170,Input_Raw!$A:$A,Input_Raw!$CF:$CF),"")</f>
        <v/>
      </c>
      <c r="Y170" s="121" t="str">
        <f>IFERROR(_xlfn.XLOOKUP($A170,Input_Raw!$A:$A,Input_Raw!$CZ:$CZ),"")</f>
        <v/>
      </c>
      <c r="Z170" s="121" t="str">
        <f>IFERROR(_xlfn.XLOOKUP($A170,Input_Raw!$A:$A,Input_Raw!$DA:$DA),"")</f>
        <v/>
      </c>
      <c r="AA170" s="123" t="str">
        <f t="shared" si="13"/>
        <v/>
      </c>
      <c r="AB170" s="121" t="str">
        <f>IFERROR(_xlfn.XLOOKUP($A170,Input_Raw!$A:$A,Input_Raw!$DG:$DG),"")</f>
        <v/>
      </c>
      <c r="AC170" s="141">
        <f>IFERROR(_xlfn.XLOOKUP($D170,'Modelling New'!$D:$D,'Modelling New'!$J:$J),"")</f>
        <v>5.0333333333333332</v>
      </c>
      <c r="AD170" s="123">
        <f>IFERROR(_xlfn.XLOOKUP($D170,'Modelling New'!$D:$D,'Modelling New'!$T:$T)*1000,"")</f>
        <v>279529.73373197042</v>
      </c>
      <c r="AE170" s="140"/>
      <c r="AF170" s="140">
        <f>IFERROR(_xlfn.XLOOKUP($D170,'Modelling New'!$D:$D,'Modelling New'!$W:$W),"")</f>
        <v>0.14932143895938593</v>
      </c>
      <c r="AG170" s="140">
        <f>IFERROR(_xlfn.XLOOKUP($D170,'Modelling New'!$D:$D,'Modelling New'!$AE:$AE),"")</f>
        <v>0.96029999999999993</v>
      </c>
      <c r="AH170" s="140">
        <f>IFERROR(_xlfn.XLOOKUP($D170,'Modelling New'!$D:$D,'Modelling New'!$AF:$AF),"")</f>
        <v>0.995</v>
      </c>
      <c r="AI170" s="121" t="str">
        <f>IFERROR(_xlfn.XLOOKUP($A170,Input_Raw!$A:$A,Input_Raw!$DE:$DE),"")</f>
        <v/>
      </c>
      <c r="AJ170" s="121"/>
      <c r="AK170" s="121"/>
      <c r="AL170" s="121"/>
      <c r="AM170" s="121"/>
      <c r="AN170" s="142" t="str">
        <f>IFERROR(_xlfn.XLOOKUP($A170,Input_Raw!$A:$A,Input_Raw!$DB:$DB),"")</f>
        <v/>
      </c>
      <c r="AO170" s="140" t="str">
        <f>IFERROR((_xlfn.XLOOKUP($A170,'WTG Reactive Power'!$A:$A,'WTG Reactive Power'!$AR:$AR))/X170/1000,"")</f>
        <v/>
      </c>
      <c r="AP170" s="140">
        <f>IFERROR(_xlfn.XLOOKUP($D170,'Modelling New'!$D:$D,'Modelling New'!$AK:$AK),"")</f>
        <v>0.05</v>
      </c>
      <c r="AQ170" s="140">
        <f>IFERROR(_xlfn.XLOOKUP($D170,'Modelling New'!$D:$D,'Modelling New'!$AL:$AL),"")</f>
        <v>0.05</v>
      </c>
      <c r="AR170">
        <f>IFERROR(_xlfn.XLOOKUP($D170,'Modelling New'!$D:$D,'Modelling New'!$N:$N),"")</f>
        <v>78</v>
      </c>
    </row>
    <row r="171" spans="1:44">
      <c r="A171" s="134">
        <f t="shared" si="15"/>
        <v>45914</v>
      </c>
      <c r="B171" s="123">
        <f>YEAR(Table13[[#This Row],[Date]])+IF(MONTH(Table13[[#This Row],[Date]])&gt;=4,1,0)</f>
        <v>2026</v>
      </c>
      <c r="C171" s="121">
        <f>YEAR(Table13[[#This Row],[Date]])</f>
        <v>2025</v>
      </c>
      <c r="D171" s="135">
        <f>Table13[[#This Row],[Date]]-DAY(Table13[[#This Row],[Date]])+1</f>
        <v>45901</v>
      </c>
      <c r="E171" s="121">
        <f t="shared" si="12"/>
        <v>30</v>
      </c>
      <c r="F171" s="124"/>
      <c r="G171" s="125"/>
      <c r="H171" s="125"/>
      <c r="I171" s="125"/>
      <c r="J171" s="125"/>
      <c r="K171" s="136"/>
      <c r="L171" s="125"/>
      <c r="M171" s="125" t="str">
        <f>IFERROR(_xlfn.XLOOKUP($A171,Input_Raw!$A:$A,Input_Raw!CG:CG),"")</f>
        <v/>
      </c>
      <c r="N171" s="125" t="str">
        <f>IFERROR(_xlfn.XLOOKUP($A171,Input_Raw!$A:$A,Input_Raw!CH:CH),"")</f>
        <v/>
      </c>
      <c r="O171" s="137" t="str">
        <f t="shared" si="14"/>
        <v/>
      </c>
      <c r="P171" s="137" t="str">
        <f>IFERROR(1-SUMIF(WTG_BD!$F:$F,$A171,WTG_BD!$AA:$AA)/($AA171+SUMIF(WTG_BD!$F:$F,$A171,WTG_BD!$AA:$AA)),"")</f>
        <v/>
      </c>
      <c r="Q171" s="138" t="str">
        <f>IFERROR(1-SUMIF(IGA_BD!$F:$F,$A171,IGA_BD!$V:$V)/($AA171+SUMIF(IGA_BD!$F:$F,$A171,IGA_BD!$V:$V)),"")</f>
        <v/>
      </c>
      <c r="R171" s="143" t="str">
        <f>IFERROR(1-SUMIF(Grid_BD!$F:$F,$A171,Grid_BD!$X:$X)/($AA171+SUMIF(Grid_BD!$F:$F,$A171,Grid_BD!$X:$X)),"")</f>
        <v/>
      </c>
      <c r="S171" s="121"/>
      <c r="T171" s="138"/>
      <c r="U171" s="139"/>
      <c r="V171" s="121"/>
      <c r="W171" s="140" t="str">
        <f>IFERROR(Table13[[#This Row],[Mtr_Net_Exp (KWh)]]/(24*AR171*1000),"")</f>
        <v/>
      </c>
      <c r="X171" s="121" t="str">
        <f>IFERROR(_xlfn.XLOOKUP($A171,Input_Raw!$A:$A,Input_Raw!$CF:$CF),"")</f>
        <v/>
      </c>
      <c r="Y171" s="121" t="str">
        <f>IFERROR(_xlfn.XLOOKUP($A171,Input_Raw!$A:$A,Input_Raw!$CZ:$CZ),"")</f>
        <v/>
      </c>
      <c r="Z171" s="121" t="str">
        <f>IFERROR(_xlfn.XLOOKUP($A171,Input_Raw!$A:$A,Input_Raw!$DA:$DA),"")</f>
        <v/>
      </c>
      <c r="AA171" s="123" t="str">
        <f t="shared" si="13"/>
        <v/>
      </c>
      <c r="AB171" s="121" t="str">
        <f>IFERROR(_xlfn.XLOOKUP($A171,Input_Raw!$A:$A,Input_Raw!$DG:$DG),"")</f>
        <v/>
      </c>
      <c r="AC171" s="141">
        <f>IFERROR(_xlfn.XLOOKUP($D171,'Modelling New'!$D:$D,'Modelling New'!$J:$J),"")</f>
        <v>5.0333333333333332</v>
      </c>
      <c r="AD171" s="123">
        <f>IFERROR(_xlfn.XLOOKUP($D171,'Modelling New'!$D:$D,'Modelling New'!$T:$T)*1000,"")</f>
        <v>279529.73373197042</v>
      </c>
      <c r="AE171" s="140"/>
      <c r="AF171" s="140">
        <f>IFERROR(_xlfn.XLOOKUP($D171,'Modelling New'!$D:$D,'Modelling New'!$W:$W),"")</f>
        <v>0.14932143895938593</v>
      </c>
      <c r="AG171" s="140">
        <f>IFERROR(_xlfn.XLOOKUP($D171,'Modelling New'!$D:$D,'Modelling New'!$AE:$AE),"")</f>
        <v>0.96029999999999993</v>
      </c>
      <c r="AH171" s="140">
        <f>IFERROR(_xlfn.XLOOKUP($D171,'Modelling New'!$D:$D,'Modelling New'!$AF:$AF),"")</f>
        <v>0.995</v>
      </c>
      <c r="AI171" s="121" t="str">
        <f>IFERROR(_xlfn.XLOOKUP($A171,Input_Raw!$A:$A,Input_Raw!$DE:$DE),"")</f>
        <v/>
      </c>
      <c r="AJ171" s="121"/>
      <c r="AK171" s="121"/>
      <c r="AL171" s="121"/>
      <c r="AM171" s="121"/>
      <c r="AN171" s="142" t="str">
        <f>IFERROR(_xlfn.XLOOKUP($A171,Input_Raw!$A:$A,Input_Raw!$DB:$DB),"")</f>
        <v/>
      </c>
      <c r="AO171" s="140" t="str">
        <f>IFERROR((_xlfn.XLOOKUP($A171,'WTG Reactive Power'!$A:$A,'WTG Reactive Power'!$AR:$AR))/X171/1000,"")</f>
        <v/>
      </c>
      <c r="AP171" s="140">
        <f>IFERROR(_xlfn.XLOOKUP($D171,'Modelling New'!$D:$D,'Modelling New'!$AK:$AK),"")</f>
        <v>0.05</v>
      </c>
      <c r="AQ171" s="140">
        <f>IFERROR(_xlfn.XLOOKUP($D171,'Modelling New'!$D:$D,'Modelling New'!$AL:$AL),"")</f>
        <v>0.05</v>
      </c>
      <c r="AR171">
        <f>IFERROR(_xlfn.XLOOKUP($D171,'Modelling New'!$D:$D,'Modelling New'!$N:$N),"")</f>
        <v>78</v>
      </c>
    </row>
    <row r="172" spans="1:44">
      <c r="A172" s="134">
        <f t="shared" si="15"/>
        <v>45915</v>
      </c>
      <c r="B172" s="123">
        <f>YEAR(Table13[[#This Row],[Date]])+IF(MONTH(Table13[[#This Row],[Date]])&gt;=4,1,0)</f>
        <v>2026</v>
      </c>
      <c r="C172" s="121">
        <f>YEAR(Table13[[#This Row],[Date]])</f>
        <v>2025</v>
      </c>
      <c r="D172" s="135">
        <f>Table13[[#This Row],[Date]]-DAY(Table13[[#This Row],[Date]])+1</f>
        <v>45901</v>
      </c>
      <c r="E172" s="121">
        <f t="shared" si="12"/>
        <v>30</v>
      </c>
      <c r="F172" s="124"/>
      <c r="G172" s="125"/>
      <c r="H172" s="125"/>
      <c r="I172" s="125"/>
      <c r="J172" s="125"/>
      <c r="K172" s="136"/>
      <c r="L172" s="125"/>
      <c r="M172" s="125" t="str">
        <f>IFERROR(_xlfn.XLOOKUP($A172,Input_Raw!$A:$A,Input_Raw!CG:CG),"")</f>
        <v/>
      </c>
      <c r="N172" s="125" t="str">
        <f>IFERROR(_xlfn.XLOOKUP($A172,Input_Raw!$A:$A,Input_Raw!CH:CH),"")</f>
        <v/>
      </c>
      <c r="O172" s="137" t="str">
        <f t="shared" si="14"/>
        <v/>
      </c>
      <c r="P172" s="137" t="str">
        <f>IFERROR(1-SUMIF(WTG_BD!$F:$F,$A172,WTG_BD!$AA:$AA)/($AA172+SUMIF(WTG_BD!$F:$F,$A172,WTG_BD!$AA:$AA)),"")</f>
        <v/>
      </c>
      <c r="Q172" s="138" t="str">
        <f>IFERROR(1-SUMIF(IGA_BD!$F:$F,$A172,IGA_BD!$V:$V)/($AA172+SUMIF(IGA_BD!$F:$F,$A172,IGA_BD!$V:$V)),"")</f>
        <v/>
      </c>
      <c r="R172" s="143" t="str">
        <f>IFERROR(1-SUMIF(Grid_BD!$F:$F,$A172,Grid_BD!$X:$X)/($AA172+SUMIF(Grid_BD!$F:$F,$A172,Grid_BD!$X:$X)),"")</f>
        <v/>
      </c>
      <c r="S172" s="121"/>
      <c r="T172" s="138"/>
      <c r="U172" s="139"/>
      <c r="V172" s="121"/>
      <c r="W172" s="140" t="str">
        <f>IFERROR(Table13[[#This Row],[Mtr_Net_Exp (KWh)]]/(24*AR172*1000),"")</f>
        <v/>
      </c>
      <c r="X172" s="121" t="str">
        <f>IFERROR(_xlfn.XLOOKUP($A172,Input_Raw!$A:$A,Input_Raw!$CF:$CF),"")</f>
        <v/>
      </c>
      <c r="Y172" s="121" t="str">
        <f>IFERROR(_xlfn.XLOOKUP($A172,Input_Raw!$A:$A,Input_Raw!$CZ:$CZ),"")</f>
        <v/>
      </c>
      <c r="Z172" s="121" t="str">
        <f>IFERROR(_xlfn.XLOOKUP($A172,Input_Raw!$A:$A,Input_Raw!$DA:$DA),"")</f>
        <v/>
      </c>
      <c r="AA172" s="123" t="str">
        <f t="shared" si="13"/>
        <v/>
      </c>
      <c r="AB172" s="121" t="str">
        <f>IFERROR(_xlfn.XLOOKUP($A172,Input_Raw!$A:$A,Input_Raw!$DG:$DG),"")</f>
        <v/>
      </c>
      <c r="AC172" s="141">
        <f>IFERROR(_xlfn.XLOOKUP($D172,'Modelling New'!$D:$D,'Modelling New'!$J:$J),"")</f>
        <v>5.0333333333333332</v>
      </c>
      <c r="AD172" s="123">
        <f>IFERROR(_xlfn.XLOOKUP($D172,'Modelling New'!$D:$D,'Modelling New'!$T:$T)*1000,"")</f>
        <v>279529.73373197042</v>
      </c>
      <c r="AE172" s="140"/>
      <c r="AF172" s="140">
        <f>IFERROR(_xlfn.XLOOKUP($D172,'Modelling New'!$D:$D,'Modelling New'!$W:$W),"")</f>
        <v>0.14932143895938593</v>
      </c>
      <c r="AG172" s="140">
        <f>IFERROR(_xlfn.XLOOKUP($D172,'Modelling New'!$D:$D,'Modelling New'!$AE:$AE),"")</f>
        <v>0.96029999999999993</v>
      </c>
      <c r="AH172" s="140">
        <f>IFERROR(_xlfn.XLOOKUP($D172,'Modelling New'!$D:$D,'Modelling New'!$AF:$AF),"")</f>
        <v>0.995</v>
      </c>
      <c r="AI172" s="121" t="str">
        <f>IFERROR(_xlfn.XLOOKUP($A172,Input_Raw!$A:$A,Input_Raw!$DE:$DE),"")</f>
        <v/>
      </c>
      <c r="AJ172" s="121"/>
      <c r="AK172" s="121"/>
      <c r="AL172" s="121"/>
      <c r="AM172" s="121"/>
      <c r="AN172" s="142" t="str">
        <f>IFERROR(_xlfn.XLOOKUP($A172,Input_Raw!$A:$A,Input_Raw!$DB:$DB),"")</f>
        <v/>
      </c>
      <c r="AO172" s="140" t="str">
        <f>IFERROR((_xlfn.XLOOKUP($A172,'WTG Reactive Power'!$A:$A,'WTG Reactive Power'!$AR:$AR))/X172/1000,"")</f>
        <v/>
      </c>
      <c r="AP172" s="140">
        <f>IFERROR(_xlfn.XLOOKUP($D172,'Modelling New'!$D:$D,'Modelling New'!$AK:$AK),"")</f>
        <v>0.05</v>
      </c>
      <c r="AQ172" s="140">
        <f>IFERROR(_xlfn.XLOOKUP($D172,'Modelling New'!$D:$D,'Modelling New'!$AL:$AL),"")</f>
        <v>0.05</v>
      </c>
      <c r="AR172">
        <f>IFERROR(_xlfn.XLOOKUP($D172,'Modelling New'!$D:$D,'Modelling New'!$N:$N),"")</f>
        <v>78</v>
      </c>
    </row>
    <row r="173" spans="1:44">
      <c r="A173" s="134">
        <f t="shared" si="15"/>
        <v>45916</v>
      </c>
      <c r="B173" s="123">
        <f>YEAR(Table13[[#This Row],[Date]])+IF(MONTH(Table13[[#This Row],[Date]])&gt;=4,1,0)</f>
        <v>2026</v>
      </c>
      <c r="C173" s="121">
        <f>YEAR(Table13[[#This Row],[Date]])</f>
        <v>2025</v>
      </c>
      <c r="D173" s="135">
        <f>Table13[[#This Row],[Date]]-DAY(Table13[[#This Row],[Date]])+1</f>
        <v>45901</v>
      </c>
      <c r="E173" s="121">
        <f t="shared" si="12"/>
        <v>30</v>
      </c>
      <c r="F173" s="124"/>
      <c r="G173" s="125"/>
      <c r="H173" s="125"/>
      <c r="I173" s="125"/>
      <c r="J173" s="125"/>
      <c r="K173" s="136"/>
      <c r="L173" s="125"/>
      <c r="M173" s="125" t="str">
        <f>IFERROR(_xlfn.XLOOKUP($A173,Input_Raw!$A:$A,Input_Raw!CG:CG),"")</f>
        <v/>
      </c>
      <c r="N173" s="125" t="str">
        <f>IFERROR(_xlfn.XLOOKUP($A173,Input_Raw!$A:$A,Input_Raw!CH:CH),"")</f>
        <v/>
      </c>
      <c r="O173" s="137" t="str">
        <f t="shared" si="14"/>
        <v/>
      </c>
      <c r="P173" s="137" t="str">
        <f>IFERROR(1-SUMIF(WTG_BD!$F:$F,$A173,WTG_BD!$AA:$AA)/($AA173+SUMIF(WTG_BD!$F:$F,$A173,WTG_BD!$AA:$AA)),"")</f>
        <v/>
      </c>
      <c r="Q173" s="138" t="str">
        <f>IFERROR(1-SUMIF(IGA_BD!$F:$F,$A173,IGA_BD!$V:$V)/($AA173+SUMIF(IGA_BD!$F:$F,$A173,IGA_BD!$V:$V)),"")</f>
        <v/>
      </c>
      <c r="R173" s="143" t="str">
        <f>IFERROR(1-SUMIF(Grid_BD!$F:$F,$A173,Grid_BD!$X:$X)/($AA173+SUMIF(Grid_BD!$F:$F,$A173,Grid_BD!$X:$X)),"")</f>
        <v/>
      </c>
      <c r="S173" s="121"/>
      <c r="T173" s="138"/>
      <c r="U173" s="139"/>
      <c r="V173" s="121"/>
      <c r="W173" s="140" t="str">
        <f>IFERROR(Table13[[#This Row],[Mtr_Net_Exp (KWh)]]/(24*AR173*1000),"")</f>
        <v/>
      </c>
      <c r="X173" s="121" t="str">
        <f>IFERROR(_xlfn.XLOOKUP($A173,Input_Raw!$A:$A,Input_Raw!$CF:$CF),"")</f>
        <v/>
      </c>
      <c r="Y173" s="121" t="str">
        <f>IFERROR(_xlfn.XLOOKUP($A173,Input_Raw!$A:$A,Input_Raw!$CZ:$CZ),"")</f>
        <v/>
      </c>
      <c r="Z173" s="121" t="str">
        <f>IFERROR(_xlfn.XLOOKUP($A173,Input_Raw!$A:$A,Input_Raw!$DA:$DA),"")</f>
        <v/>
      </c>
      <c r="AA173" s="123" t="str">
        <f t="shared" si="13"/>
        <v/>
      </c>
      <c r="AB173" s="121" t="str">
        <f>IFERROR(_xlfn.XLOOKUP($A173,Input_Raw!$A:$A,Input_Raw!$DG:$DG),"")</f>
        <v/>
      </c>
      <c r="AC173" s="141">
        <f>IFERROR(_xlfn.XLOOKUP($D173,'Modelling New'!$D:$D,'Modelling New'!$J:$J),"")</f>
        <v>5.0333333333333332</v>
      </c>
      <c r="AD173" s="123">
        <f>IFERROR(_xlfn.XLOOKUP($D173,'Modelling New'!$D:$D,'Modelling New'!$T:$T)*1000,"")</f>
        <v>279529.73373197042</v>
      </c>
      <c r="AE173" s="140"/>
      <c r="AF173" s="140">
        <f>IFERROR(_xlfn.XLOOKUP($D173,'Modelling New'!$D:$D,'Modelling New'!$W:$W),"")</f>
        <v>0.14932143895938593</v>
      </c>
      <c r="AG173" s="140">
        <f>IFERROR(_xlfn.XLOOKUP($D173,'Modelling New'!$D:$D,'Modelling New'!$AE:$AE),"")</f>
        <v>0.96029999999999993</v>
      </c>
      <c r="AH173" s="140">
        <f>IFERROR(_xlfn.XLOOKUP($D173,'Modelling New'!$D:$D,'Modelling New'!$AF:$AF),"")</f>
        <v>0.995</v>
      </c>
      <c r="AI173" s="121" t="str">
        <f>IFERROR(_xlfn.XLOOKUP($A173,Input_Raw!$A:$A,Input_Raw!$DE:$DE),"")</f>
        <v/>
      </c>
      <c r="AJ173" s="121"/>
      <c r="AK173" s="121"/>
      <c r="AL173" s="121"/>
      <c r="AM173" s="121"/>
      <c r="AN173" s="142" t="str">
        <f>IFERROR(_xlfn.XLOOKUP($A173,Input_Raw!$A:$A,Input_Raw!$DB:$DB),"")</f>
        <v/>
      </c>
      <c r="AO173" s="140" t="str">
        <f>IFERROR((_xlfn.XLOOKUP($A173,'WTG Reactive Power'!$A:$A,'WTG Reactive Power'!$AR:$AR))/X173/1000,"")</f>
        <v/>
      </c>
      <c r="AP173" s="140">
        <f>IFERROR(_xlfn.XLOOKUP($D173,'Modelling New'!$D:$D,'Modelling New'!$AK:$AK),"")</f>
        <v>0.05</v>
      </c>
      <c r="AQ173" s="140">
        <f>IFERROR(_xlfn.XLOOKUP($D173,'Modelling New'!$D:$D,'Modelling New'!$AL:$AL),"")</f>
        <v>0.05</v>
      </c>
      <c r="AR173">
        <f>IFERROR(_xlfn.XLOOKUP($D173,'Modelling New'!$D:$D,'Modelling New'!$N:$N),"")</f>
        <v>78</v>
      </c>
    </row>
    <row r="174" spans="1:44">
      <c r="A174" s="134">
        <f t="shared" si="15"/>
        <v>45917</v>
      </c>
      <c r="B174" s="123">
        <f>YEAR(Table13[[#This Row],[Date]])+IF(MONTH(Table13[[#This Row],[Date]])&gt;=4,1,0)</f>
        <v>2026</v>
      </c>
      <c r="C174" s="121">
        <f>YEAR(Table13[[#This Row],[Date]])</f>
        <v>2025</v>
      </c>
      <c r="D174" s="135">
        <f>Table13[[#This Row],[Date]]-DAY(Table13[[#This Row],[Date]])+1</f>
        <v>45901</v>
      </c>
      <c r="E174" s="121">
        <f t="shared" si="12"/>
        <v>30</v>
      </c>
      <c r="F174" s="124"/>
      <c r="G174" s="125"/>
      <c r="H174" s="125"/>
      <c r="I174" s="125"/>
      <c r="J174" s="125"/>
      <c r="K174" s="136"/>
      <c r="L174" s="125"/>
      <c r="M174" s="125" t="str">
        <f>IFERROR(_xlfn.XLOOKUP($A174,Input_Raw!$A:$A,Input_Raw!CG:CG),"")</f>
        <v/>
      </c>
      <c r="N174" s="125" t="str">
        <f>IFERROR(_xlfn.XLOOKUP($A174,Input_Raw!$A:$A,Input_Raw!CH:CH),"")</f>
        <v/>
      </c>
      <c r="O174" s="137" t="str">
        <f t="shared" si="14"/>
        <v/>
      </c>
      <c r="P174" s="137" t="str">
        <f>IFERROR(1-SUMIF(WTG_BD!$F:$F,$A174,WTG_BD!$AA:$AA)/($AA174+SUMIF(WTG_BD!$F:$F,$A174,WTG_BD!$AA:$AA)),"")</f>
        <v/>
      </c>
      <c r="Q174" s="138" t="str">
        <f>IFERROR(1-SUMIF(IGA_BD!$F:$F,$A174,IGA_BD!$V:$V)/($AA174+SUMIF(IGA_BD!$F:$F,$A174,IGA_BD!$V:$V)),"")</f>
        <v/>
      </c>
      <c r="R174" s="143" t="str">
        <f>IFERROR(1-SUMIF(Grid_BD!$F:$F,$A174,Grid_BD!$X:$X)/($AA174+SUMIF(Grid_BD!$F:$F,$A174,Grid_BD!$X:$X)),"")</f>
        <v/>
      </c>
      <c r="S174" s="121"/>
      <c r="T174" s="138"/>
      <c r="U174" s="139"/>
      <c r="V174" s="121"/>
      <c r="W174" s="140" t="str">
        <f>IFERROR(Table13[[#This Row],[Mtr_Net_Exp (KWh)]]/(24*AR174*1000),"")</f>
        <v/>
      </c>
      <c r="X174" s="121" t="str">
        <f>IFERROR(_xlfn.XLOOKUP($A174,Input_Raw!$A:$A,Input_Raw!$CF:$CF),"")</f>
        <v/>
      </c>
      <c r="Y174" s="121" t="str">
        <f>IFERROR(_xlfn.XLOOKUP($A174,Input_Raw!$A:$A,Input_Raw!$CZ:$CZ),"")</f>
        <v/>
      </c>
      <c r="Z174" s="121" t="str">
        <f>IFERROR(_xlfn.XLOOKUP($A174,Input_Raw!$A:$A,Input_Raw!$DA:$DA),"")</f>
        <v/>
      </c>
      <c r="AA174" s="123" t="str">
        <f t="shared" si="13"/>
        <v/>
      </c>
      <c r="AB174" s="121" t="str">
        <f>IFERROR(_xlfn.XLOOKUP($A174,Input_Raw!$A:$A,Input_Raw!$DG:$DG),"")</f>
        <v/>
      </c>
      <c r="AC174" s="141">
        <f>IFERROR(_xlfn.XLOOKUP($D174,'Modelling New'!$D:$D,'Modelling New'!$J:$J),"")</f>
        <v>5.0333333333333332</v>
      </c>
      <c r="AD174" s="123">
        <f>IFERROR(_xlfn.XLOOKUP($D174,'Modelling New'!$D:$D,'Modelling New'!$T:$T)*1000,"")</f>
        <v>279529.73373197042</v>
      </c>
      <c r="AE174" s="140"/>
      <c r="AF174" s="140">
        <f>IFERROR(_xlfn.XLOOKUP($D174,'Modelling New'!$D:$D,'Modelling New'!$W:$W),"")</f>
        <v>0.14932143895938593</v>
      </c>
      <c r="AG174" s="140">
        <f>IFERROR(_xlfn.XLOOKUP($D174,'Modelling New'!$D:$D,'Modelling New'!$AE:$AE),"")</f>
        <v>0.96029999999999993</v>
      </c>
      <c r="AH174" s="140">
        <f>IFERROR(_xlfn.XLOOKUP($D174,'Modelling New'!$D:$D,'Modelling New'!$AF:$AF),"")</f>
        <v>0.995</v>
      </c>
      <c r="AI174" s="121" t="str">
        <f>IFERROR(_xlfn.XLOOKUP($A174,Input_Raw!$A:$A,Input_Raw!$DE:$DE),"")</f>
        <v/>
      </c>
      <c r="AJ174" s="121"/>
      <c r="AK174" s="121"/>
      <c r="AL174" s="121"/>
      <c r="AM174" s="121"/>
      <c r="AN174" s="142" t="str">
        <f>IFERROR(_xlfn.XLOOKUP($A174,Input_Raw!$A:$A,Input_Raw!$DB:$DB),"")</f>
        <v/>
      </c>
      <c r="AO174" s="140" t="str">
        <f>IFERROR((_xlfn.XLOOKUP($A174,'WTG Reactive Power'!$A:$A,'WTG Reactive Power'!$AR:$AR))/X174/1000,"")</f>
        <v/>
      </c>
      <c r="AP174" s="140">
        <f>IFERROR(_xlfn.XLOOKUP($D174,'Modelling New'!$D:$D,'Modelling New'!$AK:$AK),"")</f>
        <v>0.05</v>
      </c>
      <c r="AQ174" s="140">
        <f>IFERROR(_xlfn.XLOOKUP($D174,'Modelling New'!$D:$D,'Modelling New'!$AL:$AL),"")</f>
        <v>0.05</v>
      </c>
      <c r="AR174">
        <f>IFERROR(_xlfn.XLOOKUP($D174,'Modelling New'!$D:$D,'Modelling New'!$N:$N),"")</f>
        <v>78</v>
      </c>
    </row>
    <row r="175" spans="1:44">
      <c r="A175" s="134">
        <f t="shared" si="15"/>
        <v>45918</v>
      </c>
      <c r="B175" s="123">
        <f>YEAR(Table13[[#This Row],[Date]])+IF(MONTH(Table13[[#This Row],[Date]])&gt;=4,1,0)</f>
        <v>2026</v>
      </c>
      <c r="C175" s="121">
        <f>YEAR(Table13[[#This Row],[Date]])</f>
        <v>2025</v>
      </c>
      <c r="D175" s="135">
        <f>Table13[[#This Row],[Date]]-DAY(Table13[[#This Row],[Date]])+1</f>
        <v>45901</v>
      </c>
      <c r="E175" s="121">
        <f t="shared" si="12"/>
        <v>30</v>
      </c>
      <c r="F175" s="124"/>
      <c r="G175" s="125"/>
      <c r="H175" s="125"/>
      <c r="I175" s="125"/>
      <c r="J175" s="125"/>
      <c r="K175" s="136"/>
      <c r="L175" s="125"/>
      <c r="M175" s="125" t="str">
        <f>IFERROR(_xlfn.XLOOKUP($A175,Input_Raw!$A:$A,Input_Raw!CG:CG),"")</f>
        <v/>
      </c>
      <c r="N175" s="125" t="str">
        <f>IFERROR(_xlfn.XLOOKUP($A175,Input_Raw!$A:$A,Input_Raw!CH:CH),"")</f>
        <v/>
      </c>
      <c r="O175" s="137" t="str">
        <f t="shared" si="14"/>
        <v/>
      </c>
      <c r="P175" s="137" t="str">
        <f>IFERROR(1-SUMIF(WTG_BD!$F:$F,$A175,WTG_BD!$AA:$AA)/($AA175+SUMIF(WTG_BD!$F:$F,$A175,WTG_BD!$AA:$AA)),"")</f>
        <v/>
      </c>
      <c r="Q175" s="138" t="str">
        <f>IFERROR(1-SUMIF(IGA_BD!$F:$F,$A175,IGA_BD!$V:$V)/($AA175+SUMIF(IGA_BD!$F:$F,$A175,IGA_BD!$V:$V)),"")</f>
        <v/>
      </c>
      <c r="R175" s="143" t="str">
        <f>IFERROR(1-SUMIF(Grid_BD!$F:$F,$A175,Grid_BD!$X:$X)/($AA175+SUMIF(Grid_BD!$F:$F,$A175,Grid_BD!$X:$X)),"")</f>
        <v/>
      </c>
      <c r="S175" s="121"/>
      <c r="T175" s="138"/>
      <c r="U175" s="139"/>
      <c r="V175" s="121"/>
      <c r="W175" s="140" t="str">
        <f>IFERROR(Table13[[#This Row],[Mtr_Net_Exp (KWh)]]/(24*AR175*1000),"")</f>
        <v/>
      </c>
      <c r="X175" s="121" t="str">
        <f>IFERROR(_xlfn.XLOOKUP($A175,Input_Raw!$A:$A,Input_Raw!$CF:$CF),"")</f>
        <v/>
      </c>
      <c r="Y175" s="121" t="str">
        <f>IFERROR(_xlfn.XLOOKUP($A175,Input_Raw!$A:$A,Input_Raw!$CZ:$CZ),"")</f>
        <v/>
      </c>
      <c r="Z175" s="121" t="str">
        <f>IFERROR(_xlfn.XLOOKUP($A175,Input_Raw!$A:$A,Input_Raw!$DA:$DA),"")</f>
        <v/>
      </c>
      <c r="AA175" s="123" t="str">
        <f t="shared" si="13"/>
        <v/>
      </c>
      <c r="AB175" s="121" t="str">
        <f>IFERROR(_xlfn.XLOOKUP($A175,Input_Raw!$A:$A,Input_Raw!$DG:$DG),"")</f>
        <v/>
      </c>
      <c r="AC175" s="141">
        <f>IFERROR(_xlfn.XLOOKUP($D175,'Modelling New'!$D:$D,'Modelling New'!$J:$J),"")</f>
        <v>5.0333333333333332</v>
      </c>
      <c r="AD175" s="123">
        <f>IFERROR(_xlfn.XLOOKUP($D175,'Modelling New'!$D:$D,'Modelling New'!$T:$T)*1000,"")</f>
        <v>279529.73373197042</v>
      </c>
      <c r="AE175" s="140"/>
      <c r="AF175" s="140">
        <f>IFERROR(_xlfn.XLOOKUP($D175,'Modelling New'!$D:$D,'Modelling New'!$W:$W),"")</f>
        <v>0.14932143895938593</v>
      </c>
      <c r="AG175" s="140">
        <f>IFERROR(_xlfn.XLOOKUP($D175,'Modelling New'!$D:$D,'Modelling New'!$AE:$AE),"")</f>
        <v>0.96029999999999993</v>
      </c>
      <c r="AH175" s="140">
        <f>IFERROR(_xlfn.XLOOKUP($D175,'Modelling New'!$D:$D,'Modelling New'!$AF:$AF),"")</f>
        <v>0.995</v>
      </c>
      <c r="AI175" s="121" t="str">
        <f>IFERROR(_xlfn.XLOOKUP($A175,Input_Raw!$A:$A,Input_Raw!$DE:$DE),"")</f>
        <v/>
      </c>
      <c r="AJ175" s="121"/>
      <c r="AK175" s="121"/>
      <c r="AL175" s="121"/>
      <c r="AM175" s="121"/>
      <c r="AN175" s="142" t="str">
        <f>IFERROR(_xlfn.XLOOKUP($A175,Input_Raw!$A:$A,Input_Raw!$DB:$DB),"")</f>
        <v/>
      </c>
      <c r="AO175" s="140" t="str">
        <f>IFERROR((_xlfn.XLOOKUP($A175,'WTG Reactive Power'!$A:$A,'WTG Reactive Power'!$AR:$AR))/X175/1000,"")</f>
        <v/>
      </c>
      <c r="AP175" s="140">
        <f>IFERROR(_xlfn.XLOOKUP($D175,'Modelling New'!$D:$D,'Modelling New'!$AK:$AK),"")</f>
        <v>0.05</v>
      </c>
      <c r="AQ175" s="140">
        <f>IFERROR(_xlfn.XLOOKUP($D175,'Modelling New'!$D:$D,'Modelling New'!$AL:$AL),"")</f>
        <v>0.05</v>
      </c>
      <c r="AR175">
        <f>IFERROR(_xlfn.XLOOKUP($D175,'Modelling New'!$D:$D,'Modelling New'!$N:$N),"")</f>
        <v>78</v>
      </c>
    </row>
    <row r="176" spans="1:44">
      <c r="A176" s="134">
        <f t="shared" si="15"/>
        <v>45919</v>
      </c>
      <c r="B176" s="123">
        <f>YEAR(Table13[[#This Row],[Date]])+IF(MONTH(Table13[[#This Row],[Date]])&gt;=4,1,0)</f>
        <v>2026</v>
      </c>
      <c r="C176" s="121">
        <f>YEAR(Table13[[#This Row],[Date]])</f>
        <v>2025</v>
      </c>
      <c r="D176" s="135">
        <f>Table13[[#This Row],[Date]]-DAY(Table13[[#This Row],[Date]])+1</f>
        <v>45901</v>
      </c>
      <c r="E176" s="121">
        <f t="shared" si="12"/>
        <v>30</v>
      </c>
      <c r="F176" s="124"/>
      <c r="G176" s="125"/>
      <c r="H176" s="125"/>
      <c r="I176" s="125"/>
      <c r="J176" s="125"/>
      <c r="K176" s="136"/>
      <c r="L176" s="125"/>
      <c r="M176" s="125" t="str">
        <f>IFERROR(_xlfn.XLOOKUP($A176,Input_Raw!$A:$A,Input_Raw!CG:CG),"")</f>
        <v/>
      </c>
      <c r="N176" s="125" t="str">
        <f>IFERROR(_xlfn.XLOOKUP($A176,Input_Raw!$A:$A,Input_Raw!CH:CH),"")</f>
        <v/>
      </c>
      <c r="O176" s="137" t="str">
        <f t="shared" si="14"/>
        <v/>
      </c>
      <c r="P176" s="137" t="str">
        <f>IFERROR(1-SUMIF(WTG_BD!$F:$F,$A176,WTG_BD!$AA:$AA)/($AA176+SUMIF(WTG_BD!$F:$F,$A176,WTG_BD!$AA:$AA)),"")</f>
        <v/>
      </c>
      <c r="Q176" s="138" t="str">
        <f>IFERROR(1-SUMIF(IGA_BD!$F:$F,$A176,IGA_BD!$V:$V)/($AA176+SUMIF(IGA_BD!$F:$F,$A176,IGA_BD!$V:$V)),"")</f>
        <v/>
      </c>
      <c r="R176" s="143" t="str">
        <f>IFERROR(1-SUMIF(Grid_BD!$F:$F,$A176,Grid_BD!$X:$X)/($AA176+SUMIF(Grid_BD!$F:$F,$A176,Grid_BD!$X:$X)),"")</f>
        <v/>
      </c>
      <c r="S176" s="121"/>
      <c r="T176" s="138"/>
      <c r="U176" s="139"/>
      <c r="V176" s="121"/>
      <c r="W176" s="140" t="str">
        <f>IFERROR(Table13[[#This Row],[Mtr_Net_Exp (KWh)]]/(24*AR176*1000),"")</f>
        <v/>
      </c>
      <c r="X176" s="121" t="str">
        <f>IFERROR(_xlfn.XLOOKUP($A176,Input_Raw!$A:$A,Input_Raw!$CF:$CF),"")</f>
        <v/>
      </c>
      <c r="Y176" s="121" t="str">
        <f>IFERROR(_xlfn.XLOOKUP($A176,Input_Raw!$A:$A,Input_Raw!$CZ:$CZ),"")</f>
        <v/>
      </c>
      <c r="Z176" s="121" t="str">
        <f>IFERROR(_xlfn.XLOOKUP($A176,Input_Raw!$A:$A,Input_Raw!$DA:$DA),"")</f>
        <v/>
      </c>
      <c r="AA176" s="123" t="str">
        <f t="shared" si="13"/>
        <v/>
      </c>
      <c r="AB176" s="121" t="str">
        <f>IFERROR(_xlfn.XLOOKUP($A176,Input_Raw!$A:$A,Input_Raw!$DG:$DG),"")</f>
        <v/>
      </c>
      <c r="AC176" s="141">
        <f>IFERROR(_xlfn.XLOOKUP($D176,'Modelling New'!$D:$D,'Modelling New'!$J:$J),"")</f>
        <v>5.0333333333333332</v>
      </c>
      <c r="AD176" s="123">
        <f>IFERROR(_xlfn.XLOOKUP($D176,'Modelling New'!$D:$D,'Modelling New'!$T:$T)*1000,"")</f>
        <v>279529.73373197042</v>
      </c>
      <c r="AE176" s="140"/>
      <c r="AF176" s="140">
        <f>IFERROR(_xlfn.XLOOKUP($D176,'Modelling New'!$D:$D,'Modelling New'!$W:$W),"")</f>
        <v>0.14932143895938593</v>
      </c>
      <c r="AG176" s="140">
        <f>IFERROR(_xlfn.XLOOKUP($D176,'Modelling New'!$D:$D,'Modelling New'!$AE:$AE),"")</f>
        <v>0.96029999999999993</v>
      </c>
      <c r="AH176" s="140">
        <f>IFERROR(_xlfn.XLOOKUP($D176,'Modelling New'!$D:$D,'Modelling New'!$AF:$AF),"")</f>
        <v>0.995</v>
      </c>
      <c r="AI176" s="121" t="str">
        <f>IFERROR(_xlfn.XLOOKUP($A176,Input_Raw!$A:$A,Input_Raw!$DE:$DE),"")</f>
        <v/>
      </c>
      <c r="AJ176" s="121"/>
      <c r="AK176" s="121"/>
      <c r="AL176" s="121"/>
      <c r="AM176" s="121"/>
      <c r="AN176" s="142" t="str">
        <f>IFERROR(_xlfn.XLOOKUP($A176,Input_Raw!$A:$A,Input_Raw!$DB:$DB),"")</f>
        <v/>
      </c>
      <c r="AO176" s="140" t="str">
        <f>IFERROR((_xlfn.XLOOKUP($A176,'WTG Reactive Power'!$A:$A,'WTG Reactive Power'!$AR:$AR))/X176/1000,"")</f>
        <v/>
      </c>
      <c r="AP176" s="140">
        <f>IFERROR(_xlfn.XLOOKUP($D176,'Modelling New'!$D:$D,'Modelling New'!$AK:$AK),"")</f>
        <v>0.05</v>
      </c>
      <c r="AQ176" s="140">
        <f>IFERROR(_xlfn.XLOOKUP($D176,'Modelling New'!$D:$D,'Modelling New'!$AL:$AL),"")</f>
        <v>0.05</v>
      </c>
      <c r="AR176">
        <f>IFERROR(_xlfn.XLOOKUP($D176,'Modelling New'!$D:$D,'Modelling New'!$N:$N),"")</f>
        <v>78</v>
      </c>
    </row>
    <row r="177" spans="1:44">
      <c r="A177" s="134">
        <f t="shared" si="15"/>
        <v>45920</v>
      </c>
      <c r="B177" s="123">
        <f>YEAR(Table13[[#This Row],[Date]])+IF(MONTH(Table13[[#This Row],[Date]])&gt;=4,1,0)</f>
        <v>2026</v>
      </c>
      <c r="C177" s="121">
        <f>YEAR(Table13[[#This Row],[Date]])</f>
        <v>2025</v>
      </c>
      <c r="D177" s="135">
        <f>Table13[[#This Row],[Date]]-DAY(Table13[[#This Row],[Date]])+1</f>
        <v>45901</v>
      </c>
      <c r="E177" s="121">
        <f t="shared" si="12"/>
        <v>30</v>
      </c>
      <c r="F177" s="124"/>
      <c r="G177" s="125"/>
      <c r="H177" s="125"/>
      <c r="I177" s="125"/>
      <c r="J177" s="125"/>
      <c r="K177" s="136"/>
      <c r="L177" s="125"/>
      <c r="M177" s="125" t="str">
        <f>IFERROR(_xlfn.XLOOKUP($A177,Input_Raw!$A:$A,Input_Raw!CG:CG),"")</f>
        <v/>
      </c>
      <c r="N177" s="125" t="str">
        <f>IFERROR(_xlfn.XLOOKUP($A177,Input_Raw!$A:$A,Input_Raw!CH:CH),"")</f>
        <v/>
      </c>
      <c r="O177" s="137" t="str">
        <f t="shared" si="14"/>
        <v/>
      </c>
      <c r="P177" s="137" t="str">
        <f>IFERROR(1-SUMIF(WTG_BD!$F:$F,$A177,WTG_BD!$AA:$AA)/($AA177+SUMIF(WTG_BD!$F:$F,$A177,WTG_BD!$AA:$AA)),"")</f>
        <v/>
      </c>
      <c r="Q177" s="138" t="str">
        <f>IFERROR(1-SUMIF(IGA_BD!$F:$F,$A177,IGA_BD!$V:$V)/($AA177+SUMIF(IGA_BD!$F:$F,$A177,IGA_BD!$V:$V)),"")</f>
        <v/>
      </c>
      <c r="R177" s="143" t="str">
        <f>IFERROR(1-SUMIF(Grid_BD!$F:$F,$A177,Grid_BD!$X:$X)/($AA177+SUMIF(Grid_BD!$F:$F,$A177,Grid_BD!$X:$X)),"")</f>
        <v/>
      </c>
      <c r="S177" s="121"/>
      <c r="T177" s="138"/>
      <c r="U177" s="139"/>
      <c r="V177" s="121"/>
      <c r="W177" s="140" t="str">
        <f>IFERROR(Table13[[#This Row],[Mtr_Net_Exp (KWh)]]/(24*AR177*1000),"")</f>
        <v/>
      </c>
      <c r="X177" s="121" t="str">
        <f>IFERROR(_xlfn.XLOOKUP($A177,Input_Raw!$A:$A,Input_Raw!$CF:$CF),"")</f>
        <v/>
      </c>
      <c r="Y177" s="121" t="str">
        <f>IFERROR(_xlfn.XLOOKUP($A177,Input_Raw!$A:$A,Input_Raw!$CZ:$CZ),"")</f>
        <v/>
      </c>
      <c r="Z177" s="121" t="str">
        <f>IFERROR(_xlfn.XLOOKUP($A177,Input_Raw!$A:$A,Input_Raw!$DA:$DA),"")</f>
        <v/>
      </c>
      <c r="AA177" s="123" t="str">
        <f t="shared" si="13"/>
        <v/>
      </c>
      <c r="AB177" s="121" t="str">
        <f>IFERROR(_xlfn.XLOOKUP($A177,Input_Raw!$A:$A,Input_Raw!$DG:$DG),"")</f>
        <v/>
      </c>
      <c r="AC177" s="141">
        <f>IFERROR(_xlfn.XLOOKUP($D177,'Modelling New'!$D:$D,'Modelling New'!$J:$J),"")</f>
        <v>5.0333333333333332</v>
      </c>
      <c r="AD177" s="123">
        <f>IFERROR(_xlfn.XLOOKUP($D177,'Modelling New'!$D:$D,'Modelling New'!$T:$T)*1000,"")</f>
        <v>279529.73373197042</v>
      </c>
      <c r="AE177" s="140"/>
      <c r="AF177" s="140">
        <f>IFERROR(_xlfn.XLOOKUP($D177,'Modelling New'!$D:$D,'Modelling New'!$W:$W),"")</f>
        <v>0.14932143895938593</v>
      </c>
      <c r="AG177" s="140">
        <f>IFERROR(_xlfn.XLOOKUP($D177,'Modelling New'!$D:$D,'Modelling New'!$AE:$AE),"")</f>
        <v>0.96029999999999993</v>
      </c>
      <c r="AH177" s="140">
        <f>IFERROR(_xlfn.XLOOKUP($D177,'Modelling New'!$D:$D,'Modelling New'!$AF:$AF),"")</f>
        <v>0.995</v>
      </c>
      <c r="AI177" s="121" t="str">
        <f>IFERROR(_xlfn.XLOOKUP($A177,Input_Raw!$A:$A,Input_Raw!$DE:$DE),"")</f>
        <v/>
      </c>
      <c r="AJ177" s="121"/>
      <c r="AK177" s="121"/>
      <c r="AL177" s="121"/>
      <c r="AM177" s="121"/>
      <c r="AN177" s="142" t="str">
        <f>IFERROR(_xlfn.XLOOKUP($A177,Input_Raw!$A:$A,Input_Raw!$DB:$DB),"")</f>
        <v/>
      </c>
      <c r="AO177" s="140" t="str">
        <f>IFERROR((_xlfn.XLOOKUP($A177,'WTG Reactive Power'!$A:$A,'WTG Reactive Power'!$AR:$AR))/X177/1000,"")</f>
        <v/>
      </c>
      <c r="AP177" s="140">
        <f>IFERROR(_xlfn.XLOOKUP($D177,'Modelling New'!$D:$D,'Modelling New'!$AK:$AK),"")</f>
        <v>0.05</v>
      </c>
      <c r="AQ177" s="140">
        <f>IFERROR(_xlfn.XLOOKUP($D177,'Modelling New'!$D:$D,'Modelling New'!$AL:$AL),"")</f>
        <v>0.05</v>
      </c>
      <c r="AR177">
        <f>IFERROR(_xlfn.XLOOKUP($D177,'Modelling New'!$D:$D,'Modelling New'!$N:$N),"")</f>
        <v>78</v>
      </c>
    </row>
    <row r="178" spans="1:44">
      <c r="A178" s="134">
        <f t="shared" si="15"/>
        <v>45921</v>
      </c>
      <c r="B178" s="123">
        <f>YEAR(Table13[[#This Row],[Date]])+IF(MONTH(Table13[[#This Row],[Date]])&gt;=4,1,0)</f>
        <v>2026</v>
      </c>
      <c r="C178" s="121">
        <f>YEAR(Table13[[#This Row],[Date]])</f>
        <v>2025</v>
      </c>
      <c r="D178" s="135">
        <f>Table13[[#This Row],[Date]]-DAY(Table13[[#This Row],[Date]])+1</f>
        <v>45901</v>
      </c>
      <c r="E178" s="121">
        <f t="shared" si="12"/>
        <v>30</v>
      </c>
      <c r="F178" s="124"/>
      <c r="G178" s="125"/>
      <c r="H178" s="125"/>
      <c r="I178" s="125"/>
      <c r="J178" s="125"/>
      <c r="K178" s="136"/>
      <c r="L178" s="125"/>
      <c r="M178" s="125" t="str">
        <f>IFERROR(_xlfn.XLOOKUP($A178,Input_Raw!$A:$A,Input_Raw!CG:CG),"")</f>
        <v/>
      </c>
      <c r="N178" s="125" t="str">
        <f>IFERROR(_xlfn.XLOOKUP($A178,Input_Raw!$A:$A,Input_Raw!CH:CH),"")</f>
        <v/>
      </c>
      <c r="O178" s="137" t="str">
        <f t="shared" si="14"/>
        <v/>
      </c>
      <c r="P178" s="137" t="str">
        <f>IFERROR(1-SUMIF(WTG_BD!$F:$F,$A178,WTG_BD!$AA:$AA)/($AA178+SUMIF(WTG_BD!$F:$F,$A178,WTG_BD!$AA:$AA)),"")</f>
        <v/>
      </c>
      <c r="Q178" s="138" t="str">
        <f>IFERROR(1-SUMIF(IGA_BD!$F:$F,$A178,IGA_BD!$V:$V)/($AA178+SUMIF(IGA_BD!$F:$F,$A178,IGA_BD!$V:$V)),"")</f>
        <v/>
      </c>
      <c r="R178" s="143" t="str">
        <f>IFERROR(1-SUMIF(Grid_BD!$F:$F,$A178,Grid_BD!$X:$X)/($AA178+SUMIF(Grid_BD!$F:$F,$A178,Grid_BD!$X:$X)),"")</f>
        <v/>
      </c>
      <c r="S178" s="121"/>
      <c r="T178" s="138"/>
      <c r="U178" s="139"/>
      <c r="V178" s="121"/>
      <c r="W178" s="140" t="str">
        <f>IFERROR(Table13[[#This Row],[Mtr_Net_Exp (KWh)]]/(24*AR178*1000),"")</f>
        <v/>
      </c>
      <c r="X178" s="121" t="str">
        <f>IFERROR(_xlfn.XLOOKUP($A178,Input_Raw!$A:$A,Input_Raw!$CF:$CF),"")</f>
        <v/>
      </c>
      <c r="Y178" s="121" t="str">
        <f>IFERROR(_xlfn.XLOOKUP($A178,Input_Raw!$A:$A,Input_Raw!$CZ:$CZ),"")</f>
        <v/>
      </c>
      <c r="Z178" s="121" t="str">
        <f>IFERROR(_xlfn.XLOOKUP($A178,Input_Raw!$A:$A,Input_Raw!$DA:$DA),"")</f>
        <v/>
      </c>
      <c r="AA178" s="123" t="str">
        <f t="shared" si="13"/>
        <v/>
      </c>
      <c r="AB178" s="121" t="str">
        <f>IFERROR(_xlfn.XLOOKUP($A178,Input_Raw!$A:$A,Input_Raw!$DG:$DG),"")</f>
        <v/>
      </c>
      <c r="AC178" s="141">
        <f>IFERROR(_xlfn.XLOOKUP($D178,'Modelling New'!$D:$D,'Modelling New'!$J:$J),"")</f>
        <v>5.0333333333333332</v>
      </c>
      <c r="AD178" s="123">
        <f>IFERROR(_xlfn.XLOOKUP($D178,'Modelling New'!$D:$D,'Modelling New'!$T:$T)*1000,"")</f>
        <v>279529.73373197042</v>
      </c>
      <c r="AE178" s="140"/>
      <c r="AF178" s="140">
        <f>IFERROR(_xlfn.XLOOKUP($D178,'Modelling New'!$D:$D,'Modelling New'!$W:$W),"")</f>
        <v>0.14932143895938593</v>
      </c>
      <c r="AG178" s="140">
        <f>IFERROR(_xlfn.XLOOKUP($D178,'Modelling New'!$D:$D,'Modelling New'!$AE:$AE),"")</f>
        <v>0.96029999999999993</v>
      </c>
      <c r="AH178" s="140">
        <f>IFERROR(_xlfn.XLOOKUP($D178,'Modelling New'!$D:$D,'Modelling New'!$AF:$AF),"")</f>
        <v>0.995</v>
      </c>
      <c r="AI178" s="121" t="str">
        <f>IFERROR(_xlfn.XLOOKUP($A178,Input_Raw!$A:$A,Input_Raw!$DE:$DE),"")</f>
        <v/>
      </c>
      <c r="AJ178" s="121"/>
      <c r="AK178" s="121"/>
      <c r="AL178" s="121"/>
      <c r="AM178" s="121"/>
      <c r="AN178" s="142" t="str">
        <f>IFERROR(_xlfn.XLOOKUP($A178,Input_Raw!$A:$A,Input_Raw!$DB:$DB),"")</f>
        <v/>
      </c>
      <c r="AO178" s="140" t="str">
        <f>IFERROR((_xlfn.XLOOKUP($A178,'WTG Reactive Power'!$A:$A,'WTG Reactive Power'!$AR:$AR))/X178/1000,"")</f>
        <v/>
      </c>
      <c r="AP178" s="140">
        <f>IFERROR(_xlfn.XLOOKUP($D178,'Modelling New'!$D:$D,'Modelling New'!$AK:$AK),"")</f>
        <v>0.05</v>
      </c>
      <c r="AQ178" s="140">
        <f>IFERROR(_xlfn.XLOOKUP($D178,'Modelling New'!$D:$D,'Modelling New'!$AL:$AL),"")</f>
        <v>0.05</v>
      </c>
      <c r="AR178">
        <f>IFERROR(_xlfn.XLOOKUP($D178,'Modelling New'!$D:$D,'Modelling New'!$N:$N),"")</f>
        <v>78</v>
      </c>
    </row>
    <row r="179" spans="1:44">
      <c r="A179" s="134">
        <f t="shared" si="15"/>
        <v>45922</v>
      </c>
      <c r="B179" s="123">
        <f>YEAR(Table13[[#This Row],[Date]])+IF(MONTH(Table13[[#This Row],[Date]])&gt;=4,1,0)</f>
        <v>2026</v>
      </c>
      <c r="C179" s="121">
        <f>YEAR(Table13[[#This Row],[Date]])</f>
        <v>2025</v>
      </c>
      <c r="D179" s="135">
        <f>Table13[[#This Row],[Date]]-DAY(Table13[[#This Row],[Date]])+1</f>
        <v>45901</v>
      </c>
      <c r="E179" s="121">
        <f t="shared" si="12"/>
        <v>30</v>
      </c>
      <c r="F179" s="124"/>
      <c r="G179" s="125"/>
      <c r="H179" s="125"/>
      <c r="I179" s="125"/>
      <c r="J179" s="125"/>
      <c r="K179" s="136"/>
      <c r="L179" s="125"/>
      <c r="M179" s="125" t="str">
        <f>IFERROR(_xlfn.XLOOKUP($A179,Input_Raw!$A:$A,Input_Raw!CG:CG),"")</f>
        <v/>
      </c>
      <c r="N179" s="125" t="str">
        <f>IFERROR(_xlfn.XLOOKUP($A179,Input_Raw!$A:$A,Input_Raw!CH:CH),"")</f>
        <v/>
      </c>
      <c r="O179" s="137" t="str">
        <f t="shared" si="14"/>
        <v/>
      </c>
      <c r="P179" s="137" t="str">
        <f>IFERROR(1-SUMIF(WTG_BD!$F:$F,$A179,WTG_BD!$AA:$AA)/($AA179+SUMIF(WTG_BD!$F:$F,$A179,WTG_BD!$AA:$AA)),"")</f>
        <v/>
      </c>
      <c r="Q179" s="138" t="str">
        <f>IFERROR(1-SUMIF(IGA_BD!$F:$F,$A179,IGA_BD!$V:$V)/($AA179+SUMIF(IGA_BD!$F:$F,$A179,IGA_BD!$V:$V)),"")</f>
        <v/>
      </c>
      <c r="R179" s="143" t="str">
        <f>IFERROR(1-SUMIF(Grid_BD!$F:$F,$A179,Grid_BD!$X:$X)/($AA179+SUMIF(Grid_BD!$F:$F,$A179,Grid_BD!$X:$X)),"")</f>
        <v/>
      </c>
      <c r="S179" s="121"/>
      <c r="T179" s="138"/>
      <c r="U179" s="139"/>
      <c r="V179" s="121"/>
      <c r="W179" s="140" t="str">
        <f>IFERROR(Table13[[#This Row],[Mtr_Net_Exp (KWh)]]/(24*AR179*1000),"")</f>
        <v/>
      </c>
      <c r="X179" s="121" t="str">
        <f>IFERROR(_xlfn.XLOOKUP($A179,Input_Raw!$A:$A,Input_Raw!$CF:$CF),"")</f>
        <v/>
      </c>
      <c r="Y179" s="121" t="str">
        <f>IFERROR(_xlfn.XLOOKUP($A179,Input_Raw!$A:$A,Input_Raw!$CZ:$CZ),"")</f>
        <v/>
      </c>
      <c r="Z179" s="121" t="str">
        <f>IFERROR(_xlfn.XLOOKUP($A179,Input_Raw!$A:$A,Input_Raw!$DA:$DA),"")</f>
        <v/>
      </c>
      <c r="AA179" s="123" t="str">
        <f t="shared" si="13"/>
        <v/>
      </c>
      <c r="AB179" s="121" t="str">
        <f>IFERROR(_xlfn.XLOOKUP($A179,Input_Raw!$A:$A,Input_Raw!$DG:$DG),"")</f>
        <v/>
      </c>
      <c r="AC179" s="141">
        <f>IFERROR(_xlfn.XLOOKUP($D179,'Modelling New'!$D:$D,'Modelling New'!$J:$J),"")</f>
        <v>5.0333333333333332</v>
      </c>
      <c r="AD179" s="123">
        <f>IFERROR(_xlfn.XLOOKUP($D179,'Modelling New'!$D:$D,'Modelling New'!$T:$T)*1000,"")</f>
        <v>279529.73373197042</v>
      </c>
      <c r="AE179" s="140"/>
      <c r="AF179" s="140">
        <f>IFERROR(_xlfn.XLOOKUP($D179,'Modelling New'!$D:$D,'Modelling New'!$W:$W),"")</f>
        <v>0.14932143895938593</v>
      </c>
      <c r="AG179" s="140">
        <f>IFERROR(_xlfn.XLOOKUP($D179,'Modelling New'!$D:$D,'Modelling New'!$AE:$AE),"")</f>
        <v>0.96029999999999993</v>
      </c>
      <c r="AH179" s="140">
        <f>IFERROR(_xlfn.XLOOKUP($D179,'Modelling New'!$D:$D,'Modelling New'!$AF:$AF),"")</f>
        <v>0.995</v>
      </c>
      <c r="AI179" s="121" t="str">
        <f>IFERROR(_xlfn.XLOOKUP($A179,Input_Raw!$A:$A,Input_Raw!$DE:$DE),"")</f>
        <v/>
      </c>
      <c r="AJ179" s="121"/>
      <c r="AK179" s="121"/>
      <c r="AL179" s="121"/>
      <c r="AM179" s="121"/>
      <c r="AN179" s="142" t="str">
        <f>IFERROR(_xlfn.XLOOKUP($A179,Input_Raw!$A:$A,Input_Raw!$DB:$DB),"")</f>
        <v/>
      </c>
      <c r="AO179" s="140" t="str">
        <f>IFERROR((_xlfn.XLOOKUP($A179,'WTG Reactive Power'!$A:$A,'WTG Reactive Power'!$AR:$AR))/X179/1000,"")</f>
        <v/>
      </c>
      <c r="AP179" s="140">
        <f>IFERROR(_xlfn.XLOOKUP($D179,'Modelling New'!$D:$D,'Modelling New'!$AK:$AK),"")</f>
        <v>0.05</v>
      </c>
      <c r="AQ179" s="140">
        <f>IFERROR(_xlfn.XLOOKUP($D179,'Modelling New'!$D:$D,'Modelling New'!$AL:$AL),"")</f>
        <v>0.05</v>
      </c>
      <c r="AR179">
        <f>IFERROR(_xlfn.XLOOKUP($D179,'Modelling New'!$D:$D,'Modelling New'!$N:$N),"")</f>
        <v>78</v>
      </c>
    </row>
    <row r="180" spans="1:44">
      <c r="A180" s="134">
        <f t="shared" si="15"/>
        <v>45923</v>
      </c>
      <c r="B180" s="123">
        <f>YEAR(Table13[[#This Row],[Date]])+IF(MONTH(Table13[[#This Row],[Date]])&gt;=4,1,0)</f>
        <v>2026</v>
      </c>
      <c r="C180" s="121">
        <f>YEAR(Table13[[#This Row],[Date]])</f>
        <v>2025</v>
      </c>
      <c r="D180" s="135">
        <f>Table13[[#This Row],[Date]]-DAY(Table13[[#This Row],[Date]])+1</f>
        <v>45901</v>
      </c>
      <c r="E180" s="121">
        <f t="shared" si="12"/>
        <v>30</v>
      </c>
      <c r="F180" s="124"/>
      <c r="G180" s="125"/>
      <c r="H180" s="125"/>
      <c r="I180" s="125"/>
      <c r="J180" s="125"/>
      <c r="K180" s="136"/>
      <c r="L180" s="125"/>
      <c r="M180" s="125" t="str">
        <f>IFERROR(_xlfn.XLOOKUP($A180,Input_Raw!$A:$A,Input_Raw!CG:CG),"")</f>
        <v/>
      </c>
      <c r="N180" s="125" t="str">
        <f>IFERROR(_xlfn.XLOOKUP($A180,Input_Raw!$A:$A,Input_Raw!CH:CH),"")</f>
        <v/>
      </c>
      <c r="O180" s="137" t="str">
        <f t="shared" si="14"/>
        <v/>
      </c>
      <c r="P180" s="137" t="str">
        <f>IFERROR(1-SUMIF(WTG_BD!$F:$F,$A180,WTG_BD!$AA:$AA)/($AA180+SUMIF(WTG_BD!$F:$F,$A180,WTG_BD!$AA:$AA)),"")</f>
        <v/>
      </c>
      <c r="Q180" s="138" t="str">
        <f>IFERROR(1-SUMIF(IGA_BD!$F:$F,$A180,IGA_BD!$V:$V)/($AA180+SUMIF(IGA_BD!$F:$F,$A180,IGA_BD!$V:$V)),"")</f>
        <v/>
      </c>
      <c r="R180" s="143" t="str">
        <f>IFERROR(1-SUMIF(Grid_BD!$F:$F,$A180,Grid_BD!$X:$X)/($AA180+SUMIF(Grid_BD!$F:$F,$A180,Grid_BD!$X:$X)),"")</f>
        <v/>
      </c>
      <c r="S180" s="121"/>
      <c r="T180" s="138"/>
      <c r="U180" s="139"/>
      <c r="V180" s="121"/>
      <c r="W180" s="140" t="str">
        <f>IFERROR(Table13[[#This Row],[Mtr_Net_Exp (KWh)]]/(24*AR180*1000),"")</f>
        <v/>
      </c>
      <c r="X180" s="121" t="str">
        <f>IFERROR(_xlfn.XLOOKUP($A180,Input_Raw!$A:$A,Input_Raw!$CF:$CF),"")</f>
        <v/>
      </c>
      <c r="Y180" s="121" t="str">
        <f>IFERROR(_xlfn.XLOOKUP($A180,Input_Raw!$A:$A,Input_Raw!$CZ:$CZ),"")</f>
        <v/>
      </c>
      <c r="Z180" s="121" t="str">
        <f>IFERROR(_xlfn.XLOOKUP($A180,Input_Raw!$A:$A,Input_Raw!$DA:$DA),"")</f>
        <v/>
      </c>
      <c r="AA180" s="123" t="str">
        <f t="shared" si="13"/>
        <v/>
      </c>
      <c r="AB180" s="121" t="str">
        <f>IFERROR(_xlfn.XLOOKUP($A180,Input_Raw!$A:$A,Input_Raw!$DG:$DG),"")</f>
        <v/>
      </c>
      <c r="AC180" s="141">
        <f>IFERROR(_xlfn.XLOOKUP($D180,'Modelling New'!$D:$D,'Modelling New'!$J:$J),"")</f>
        <v>5.0333333333333332</v>
      </c>
      <c r="AD180" s="123">
        <f>IFERROR(_xlfn.XLOOKUP($D180,'Modelling New'!$D:$D,'Modelling New'!$T:$T)*1000,"")</f>
        <v>279529.73373197042</v>
      </c>
      <c r="AE180" s="140"/>
      <c r="AF180" s="140">
        <f>IFERROR(_xlfn.XLOOKUP($D180,'Modelling New'!$D:$D,'Modelling New'!$W:$W),"")</f>
        <v>0.14932143895938593</v>
      </c>
      <c r="AG180" s="140">
        <f>IFERROR(_xlfn.XLOOKUP($D180,'Modelling New'!$D:$D,'Modelling New'!$AE:$AE),"")</f>
        <v>0.96029999999999993</v>
      </c>
      <c r="AH180" s="140">
        <f>IFERROR(_xlfn.XLOOKUP($D180,'Modelling New'!$D:$D,'Modelling New'!$AF:$AF),"")</f>
        <v>0.995</v>
      </c>
      <c r="AI180" s="121" t="str">
        <f>IFERROR(_xlfn.XLOOKUP($A180,Input_Raw!$A:$A,Input_Raw!$DE:$DE),"")</f>
        <v/>
      </c>
      <c r="AJ180" s="121"/>
      <c r="AK180" s="121"/>
      <c r="AL180" s="121"/>
      <c r="AM180" s="121"/>
      <c r="AN180" s="142" t="str">
        <f>IFERROR(_xlfn.XLOOKUP($A180,Input_Raw!$A:$A,Input_Raw!$DB:$DB),"")</f>
        <v/>
      </c>
      <c r="AO180" s="140" t="str">
        <f>IFERROR((_xlfn.XLOOKUP($A180,'WTG Reactive Power'!$A:$A,'WTG Reactive Power'!$AR:$AR))/X180/1000,"")</f>
        <v/>
      </c>
      <c r="AP180" s="140">
        <f>IFERROR(_xlfn.XLOOKUP($D180,'Modelling New'!$D:$D,'Modelling New'!$AK:$AK),"")</f>
        <v>0.05</v>
      </c>
      <c r="AQ180" s="140">
        <f>IFERROR(_xlfn.XLOOKUP($D180,'Modelling New'!$D:$D,'Modelling New'!$AL:$AL),"")</f>
        <v>0.05</v>
      </c>
      <c r="AR180">
        <f>IFERROR(_xlfn.XLOOKUP($D180,'Modelling New'!$D:$D,'Modelling New'!$N:$N),"")</f>
        <v>78</v>
      </c>
    </row>
    <row r="181" spans="1:44">
      <c r="A181" s="134">
        <f t="shared" si="15"/>
        <v>45924</v>
      </c>
      <c r="B181" s="123">
        <f>YEAR(Table13[[#This Row],[Date]])+IF(MONTH(Table13[[#This Row],[Date]])&gt;=4,1,0)</f>
        <v>2026</v>
      </c>
      <c r="C181" s="121">
        <f>YEAR(Table13[[#This Row],[Date]])</f>
        <v>2025</v>
      </c>
      <c r="D181" s="135">
        <f>Table13[[#This Row],[Date]]-DAY(Table13[[#This Row],[Date]])+1</f>
        <v>45901</v>
      </c>
      <c r="E181" s="121">
        <f t="shared" si="12"/>
        <v>30</v>
      </c>
      <c r="F181" s="124"/>
      <c r="G181" s="125"/>
      <c r="H181" s="125"/>
      <c r="I181" s="125"/>
      <c r="J181" s="125"/>
      <c r="K181" s="136"/>
      <c r="L181" s="125"/>
      <c r="M181" s="125" t="str">
        <f>IFERROR(_xlfn.XLOOKUP($A181,Input_Raw!$A:$A,Input_Raw!CG:CG),"")</f>
        <v/>
      </c>
      <c r="N181" s="125" t="str">
        <f>IFERROR(_xlfn.XLOOKUP($A181,Input_Raw!$A:$A,Input_Raw!CH:CH),"")</f>
        <v/>
      </c>
      <c r="O181" s="137" t="str">
        <f t="shared" si="14"/>
        <v/>
      </c>
      <c r="P181" s="137" t="str">
        <f>IFERROR(1-SUMIF(WTG_BD!$F:$F,$A181,WTG_BD!$AA:$AA)/($AA181+SUMIF(WTG_BD!$F:$F,$A181,WTG_BD!$AA:$AA)),"")</f>
        <v/>
      </c>
      <c r="Q181" s="138" t="str">
        <f>IFERROR(1-SUMIF(IGA_BD!$F:$F,$A181,IGA_BD!$V:$V)/($AA181+SUMIF(IGA_BD!$F:$F,$A181,IGA_BD!$V:$V)),"")</f>
        <v/>
      </c>
      <c r="R181" s="143" t="str">
        <f>IFERROR(1-SUMIF(Grid_BD!$F:$F,$A181,Grid_BD!$X:$X)/($AA181+SUMIF(Grid_BD!$F:$F,$A181,Grid_BD!$X:$X)),"")</f>
        <v/>
      </c>
      <c r="S181" s="121"/>
      <c r="T181" s="138"/>
      <c r="U181" s="139"/>
      <c r="V181" s="121"/>
      <c r="W181" s="140" t="str">
        <f>IFERROR(Table13[[#This Row],[Mtr_Net_Exp (KWh)]]/(24*AR181*1000),"")</f>
        <v/>
      </c>
      <c r="X181" s="121" t="str">
        <f>IFERROR(_xlfn.XLOOKUP($A181,Input_Raw!$A:$A,Input_Raw!$CF:$CF),"")</f>
        <v/>
      </c>
      <c r="Y181" s="121" t="str">
        <f>IFERROR(_xlfn.XLOOKUP($A181,Input_Raw!$A:$A,Input_Raw!$CZ:$CZ),"")</f>
        <v/>
      </c>
      <c r="Z181" s="121" t="str">
        <f>IFERROR(_xlfn.XLOOKUP($A181,Input_Raw!$A:$A,Input_Raw!$DA:$DA),"")</f>
        <v/>
      </c>
      <c r="AA181" s="123" t="str">
        <f t="shared" si="13"/>
        <v/>
      </c>
      <c r="AB181" s="121" t="str">
        <f>IFERROR(_xlfn.XLOOKUP($A181,Input_Raw!$A:$A,Input_Raw!$DG:$DG),"")</f>
        <v/>
      </c>
      <c r="AC181" s="141">
        <f>IFERROR(_xlfn.XLOOKUP($D181,'Modelling New'!$D:$D,'Modelling New'!$J:$J),"")</f>
        <v>5.0333333333333332</v>
      </c>
      <c r="AD181" s="123">
        <f>IFERROR(_xlfn.XLOOKUP($D181,'Modelling New'!$D:$D,'Modelling New'!$T:$T)*1000,"")</f>
        <v>279529.73373197042</v>
      </c>
      <c r="AE181" s="140"/>
      <c r="AF181" s="140">
        <f>IFERROR(_xlfn.XLOOKUP($D181,'Modelling New'!$D:$D,'Modelling New'!$W:$W),"")</f>
        <v>0.14932143895938593</v>
      </c>
      <c r="AG181" s="140">
        <f>IFERROR(_xlfn.XLOOKUP($D181,'Modelling New'!$D:$D,'Modelling New'!$AE:$AE),"")</f>
        <v>0.96029999999999993</v>
      </c>
      <c r="AH181" s="140">
        <f>IFERROR(_xlfn.XLOOKUP($D181,'Modelling New'!$D:$D,'Modelling New'!$AF:$AF),"")</f>
        <v>0.995</v>
      </c>
      <c r="AI181" s="121" t="str">
        <f>IFERROR(_xlfn.XLOOKUP($A181,Input_Raw!$A:$A,Input_Raw!$DE:$DE),"")</f>
        <v/>
      </c>
      <c r="AJ181" s="121"/>
      <c r="AK181" s="121"/>
      <c r="AL181" s="121"/>
      <c r="AM181" s="121"/>
      <c r="AN181" s="142" t="str">
        <f>IFERROR(_xlfn.XLOOKUP($A181,Input_Raw!$A:$A,Input_Raw!$DB:$DB),"")</f>
        <v/>
      </c>
      <c r="AO181" s="140" t="str">
        <f>IFERROR((_xlfn.XLOOKUP($A181,'WTG Reactive Power'!$A:$A,'WTG Reactive Power'!$AR:$AR))/X181/1000,"")</f>
        <v/>
      </c>
      <c r="AP181" s="140">
        <f>IFERROR(_xlfn.XLOOKUP($D181,'Modelling New'!$D:$D,'Modelling New'!$AK:$AK),"")</f>
        <v>0.05</v>
      </c>
      <c r="AQ181" s="140">
        <f>IFERROR(_xlfn.XLOOKUP($D181,'Modelling New'!$D:$D,'Modelling New'!$AL:$AL),"")</f>
        <v>0.05</v>
      </c>
      <c r="AR181">
        <f>IFERROR(_xlfn.XLOOKUP($D181,'Modelling New'!$D:$D,'Modelling New'!$N:$N),"")</f>
        <v>78</v>
      </c>
    </row>
    <row r="182" spans="1:44">
      <c r="A182" s="134">
        <f t="shared" si="15"/>
        <v>45925</v>
      </c>
      <c r="B182" s="123">
        <f>YEAR(Table13[[#This Row],[Date]])+IF(MONTH(Table13[[#This Row],[Date]])&gt;=4,1,0)</f>
        <v>2026</v>
      </c>
      <c r="C182" s="121">
        <f>YEAR(Table13[[#This Row],[Date]])</f>
        <v>2025</v>
      </c>
      <c r="D182" s="135">
        <f>Table13[[#This Row],[Date]]-DAY(Table13[[#This Row],[Date]])+1</f>
        <v>45901</v>
      </c>
      <c r="E182" s="121">
        <f t="shared" si="12"/>
        <v>30</v>
      </c>
      <c r="F182" s="124"/>
      <c r="G182" s="125"/>
      <c r="H182" s="125"/>
      <c r="I182" s="125"/>
      <c r="J182" s="125"/>
      <c r="K182" s="136"/>
      <c r="L182" s="125"/>
      <c r="M182" s="125" t="str">
        <f>IFERROR(_xlfn.XLOOKUP($A182,Input_Raw!$A:$A,Input_Raw!CG:CG),"")</f>
        <v/>
      </c>
      <c r="N182" s="125" t="str">
        <f>IFERROR(_xlfn.XLOOKUP($A182,Input_Raw!$A:$A,Input_Raw!CH:CH),"")</f>
        <v/>
      </c>
      <c r="O182" s="137" t="str">
        <f t="shared" si="14"/>
        <v/>
      </c>
      <c r="P182" s="137" t="str">
        <f>IFERROR(1-SUMIF(WTG_BD!$F:$F,$A182,WTG_BD!$AA:$AA)/($AA182+SUMIF(WTG_BD!$F:$F,$A182,WTG_BD!$AA:$AA)),"")</f>
        <v/>
      </c>
      <c r="Q182" s="138" t="str">
        <f>IFERROR(1-SUMIF(IGA_BD!$F:$F,$A182,IGA_BD!$V:$V)/($AA182+SUMIF(IGA_BD!$F:$F,$A182,IGA_BD!$V:$V)),"")</f>
        <v/>
      </c>
      <c r="R182" s="143" t="str">
        <f>IFERROR(1-SUMIF(Grid_BD!$F:$F,$A182,Grid_BD!$X:$X)/($AA182+SUMIF(Grid_BD!$F:$F,$A182,Grid_BD!$X:$X)),"")</f>
        <v/>
      </c>
      <c r="S182" s="121"/>
      <c r="T182" s="138"/>
      <c r="U182" s="139"/>
      <c r="V182" s="121"/>
      <c r="W182" s="140" t="str">
        <f>IFERROR(Table13[[#This Row],[Mtr_Net_Exp (KWh)]]/(24*AR182*1000),"")</f>
        <v/>
      </c>
      <c r="X182" s="121" t="str">
        <f>IFERROR(_xlfn.XLOOKUP($A182,Input_Raw!$A:$A,Input_Raw!$CF:$CF),"")</f>
        <v/>
      </c>
      <c r="Y182" s="121" t="str">
        <f>IFERROR(_xlfn.XLOOKUP($A182,Input_Raw!$A:$A,Input_Raw!$CZ:$CZ),"")</f>
        <v/>
      </c>
      <c r="Z182" s="121" t="str">
        <f>IFERROR(_xlfn.XLOOKUP($A182,Input_Raw!$A:$A,Input_Raw!$DA:$DA),"")</f>
        <v/>
      </c>
      <c r="AA182" s="123" t="str">
        <f t="shared" si="13"/>
        <v/>
      </c>
      <c r="AB182" s="121" t="str">
        <f>IFERROR(_xlfn.XLOOKUP($A182,Input_Raw!$A:$A,Input_Raw!$DG:$DG),"")</f>
        <v/>
      </c>
      <c r="AC182" s="141">
        <f>IFERROR(_xlfn.XLOOKUP($D182,'Modelling New'!$D:$D,'Modelling New'!$J:$J),"")</f>
        <v>5.0333333333333332</v>
      </c>
      <c r="AD182" s="123">
        <f>IFERROR(_xlfn.XLOOKUP($D182,'Modelling New'!$D:$D,'Modelling New'!$T:$T)*1000,"")</f>
        <v>279529.73373197042</v>
      </c>
      <c r="AE182" s="140"/>
      <c r="AF182" s="140">
        <f>IFERROR(_xlfn.XLOOKUP($D182,'Modelling New'!$D:$D,'Modelling New'!$W:$W),"")</f>
        <v>0.14932143895938593</v>
      </c>
      <c r="AG182" s="140">
        <f>IFERROR(_xlfn.XLOOKUP($D182,'Modelling New'!$D:$D,'Modelling New'!$AE:$AE),"")</f>
        <v>0.96029999999999993</v>
      </c>
      <c r="AH182" s="140">
        <f>IFERROR(_xlfn.XLOOKUP($D182,'Modelling New'!$D:$D,'Modelling New'!$AF:$AF),"")</f>
        <v>0.995</v>
      </c>
      <c r="AI182" s="121" t="str">
        <f>IFERROR(_xlfn.XLOOKUP($A182,Input_Raw!$A:$A,Input_Raw!$DE:$DE),"")</f>
        <v/>
      </c>
      <c r="AJ182" s="121"/>
      <c r="AK182" s="121"/>
      <c r="AL182" s="121"/>
      <c r="AM182" s="121"/>
      <c r="AN182" s="142" t="str">
        <f>IFERROR(_xlfn.XLOOKUP($A182,Input_Raw!$A:$A,Input_Raw!$DB:$DB),"")</f>
        <v/>
      </c>
      <c r="AO182" s="140" t="str">
        <f>IFERROR((_xlfn.XLOOKUP($A182,'WTG Reactive Power'!$A:$A,'WTG Reactive Power'!$AR:$AR))/X182/1000,"")</f>
        <v/>
      </c>
      <c r="AP182" s="140">
        <f>IFERROR(_xlfn.XLOOKUP($D182,'Modelling New'!$D:$D,'Modelling New'!$AK:$AK),"")</f>
        <v>0.05</v>
      </c>
      <c r="AQ182" s="140">
        <f>IFERROR(_xlfn.XLOOKUP($D182,'Modelling New'!$D:$D,'Modelling New'!$AL:$AL),"")</f>
        <v>0.05</v>
      </c>
      <c r="AR182">
        <f>IFERROR(_xlfn.XLOOKUP($D182,'Modelling New'!$D:$D,'Modelling New'!$N:$N),"")</f>
        <v>78</v>
      </c>
    </row>
    <row r="183" spans="1:44">
      <c r="A183" s="134">
        <f t="shared" si="15"/>
        <v>45926</v>
      </c>
      <c r="B183" s="123">
        <f>YEAR(Table13[[#This Row],[Date]])+IF(MONTH(Table13[[#This Row],[Date]])&gt;=4,1,0)</f>
        <v>2026</v>
      </c>
      <c r="C183" s="121">
        <f>YEAR(Table13[[#This Row],[Date]])</f>
        <v>2025</v>
      </c>
      <c r="D183" s="135">
        <f>Table13[[#This Row],[Date]]-DAY(Table13[[#This Row],[Date]])+1</f>
        <v>45901</v>
      </c>
      <c r="E183" s="121">
        <f t="shared" si="12"/>
        <v>30</v>
      </c>
      <c r="F183" s="124"/>
      <c r="G183" s="125"/>
      <c r="H183" s="125"/>
      <c r="I183" s="125"/>
      <c r="J183" s="125"/>
      <c r="K183" s="136"/>
      <c r="L183" s="125"/>
      <c r="M183" s="125" t="str">
        <f>IFERROR(_xlfn.XLOOKUP($A183,Input_Raw!$A:$A,Input_Raw!CG:CG),"")</f>
        <v/>
      </c>
      <c r="N183" s="125" t="str">
        <f>IFERROR(_xlfn.XLOOKUP($A183,Input_Raw!$A:$A,Input_Raw!CH:CH),"")</f>
        <v/>
      </c>
      <c r="O183" s="137" t="str">
        <f t="shared" si="14"/>
        <v/>
      </c>
      <c r="P183" s="137" t="str">
        <f>IFERROR(1-SUMIF(WTG_BD!$F:$F,$A183,WTG_BD!$AA:$AA)/($AA183+SUMIF(WTG_BD!$F:$F,$A183,WTG_BD!$AA:$AA)),"")</f>
        <v/>
      </c>
      <c r="Q183" s="138" t="str">
        <f>IFERROR(1-SUMIF(IGA_BD!$F:$F,$A183,IGA_BD!$V:$V)/($AA183+SUMIF(IGA_BD!$F:$F,$A183,IGA_BD!$V:$V)),"")</f>
        <v/>
      </c>
      <c r="R183" s="143" t="str">
        <f>IFERROR(1-SUMIF(Grid_BD!$F:$F,$A183,Grid_BD!$X:$X)/($AA183+SUMIF(Grid_BD!$F:$F,$A183,Grid_BD!$X:$X)),"")</f>
        <v/>
      </c>
      <c r="S183" s="121"/>
      <c r="T183" s="138"/>
      <c r="U183" s="139"/>
      <c r="V183" s="121"/>
      <c r="W183" s="140" t="str">
        <f>IFERROR(Table13[[#This Row],[Mtr_Net_Exp (KWh)]]/(24*AR183*1000),"")</f>
        <v/>
      </c>
      <c r="X183" s="121" t="str">
        <f>IFERROR(_xlfn.XLOOKUP($A183,Input_Raw!$A:$A,Input_Raw!$CF:$CF),"")</f>
        <v/>
      </c>
      <c r="Y183" s="121" t="str">
        <f>IFERROR(_xlfn.XLOOKUP($A183,Input_Raw!$A:$A,Input_Raw!$CZ:$CZ),"")</f>
        <v/>
      </c>
      <c r="Z183" s="121" t="str">
        <f>IFERROR(_xlfn.XLOOKUP($A183,Input_Raw!$A:$A,Input_Raw!$DA:$DA),"")</f>
        <v/>
      </c>
      <c r="AA183" s="123" t="str">
        <f t="shared" si="13"/>
        <v/>
      </c>
      <c r="AB183" s="121" t="str">
        <f>IFERROR(_xlfn.XLOOKUP($A183,Input_Raw!$A:$A,Input_Raw!$DG:$DG),"")</f>
        <v/>
      </c>
      <c r="AC183" s="141">
        <f>IFERROR(_xlfn.XLOOKUP($D183,'Modelling New'!$D:$D,'Modelling New'!$J:$J),"")</f>
        <v>5.0333333333333332</v>
      </c>
      <c r="AD183" s="123">
        <f>IFERROR(_xlfn.XLOOKUP($D183,'Modelling New'!$D:$D,'Modelling New'!$T:$T)*1000,"")</f>
        <v>279529.73373197042</v>
      </c>
      <c r="AE183" s="140"/>
      <c r="AF183" s="140">
        <f>IFERROR(_xlfn.XLOOKUP($D183,'Modelling New'!$D:$D,'Modelling New'!$W:$W),"")</f>
        <v>0.14932143895938593</v>
      </c>
      <c r="AG183" s="140">
        <f>IFERROR(_xlfn.XLOOKUP($D183,'Modelling New'!$D:$D,'Modelling New'!$AE:$AE),"")</f>
        <v>0.96029999999999993</v>
      </c>
      <c r="AH183" s="140">
        <f>IFERROR(_xlfn.XLOOKUP($D183,'Modelling New'!$D:$D,'Modelling New'!$AF:$AF),"")</f>
        <v>0.995</v>
      </c>
      <c r="AI183" s="121" t="str">
        <f>IFERROR(_xlfn.XLOOKUP($A183,Input_Raw!$A:$A,Input_Raw!$DE:$DE),"")</f>
        <v/>
      </c>
      <c r="AJ183" s="121"/>
      <c r="AK183" s="121"/>
      <c r="AL183" s="121"/>
      <c r="AM183" s="121"/>
      <c r="AN183" s="142" t="str">
        <f>IFERROR(_xlfn.XLOOKUP($A183,Input_Raw!$A:$A,Input_Raw!$DB:$DB),"")</f>
        <v/>
      </c>
      <c r="AO183" s="140" t="str">
        <f>IFERROR((_xlfn.XLOOKUP($A183,'WTG Reactive Power'!$A:$A,'WTG Reactive Power'!$AR:$AR))/X183/1000,"")</f>
        <v/>
      </c>
      <c r="AP183" s="140">
        <f>IFERROR(_xlfn.XLOOKUP($D183,'Modelling New'!$D:$D,'Modelling New'!$AK:$AK),"")</f>
        <v>0.05</v>
      </c>
      <c r="AQ183" s="140">
        <f>IFERROR(_xlfn.XLOOKUP($D183,'Modelling New'!$D:$D,'Modelling New'!$AL:$AL),"")</f>
        <v>0.05</v>
      </c>
      <c r="AR183">
        <f>IFERROR(_xlfn.XLOOKUP($D183,'Modelling New'!$D:$D,'Modelling New'!$N:$N),"")</f>
        <v>78</v>
      </c>
    </row>
    <row r="184" spans="1:44">
      <c r="A184" s="134">
        <f t="shared" si="15"/>
        <v>45927</v>
      </c>
      <c r="B184" s="123">
        <f>YEAR(Table13[[#This Row],[Date]])+IF(MONTH(Table13[[#This Row],[Date]])&gt;=4,1,0)</f>
        <v>2026</v>
      </c>
      <c r="C184" s="121">
        <f>YEAR(Table13[[#This Row],[Date]])</f>
        <v>2025</v>
      </c>
      <c r="D184" s="135">
        <f>Table13[[#This Row],[Date]]-DAY(Table13[[#This Row],[Date]])+1</f>
        <v>45901</v>
      </c>
      <c r="E184" s="121">
        <f t="shared" si="12"/>
        <v>30</v>
      </c>
      <c r="F184" s="124"/>
      <c r="G184" s="125"/>
      <c r="H184" s="125"/>
      <c r="I184" s="125"/>
      <c r="J184" s="125"/>
      <c r="K184" s="136"/>
      <c r="L184" s="125"/>
      <c r="M184" s="125" t="str">
        <f>IFERROR(_xlfn.XLOOKUP($A184,Input_Raw!$A:$A,Input_Raw!CG:CG),"")</f>
        <v/>
      </c>
      <c r="N184" s="125" t="str">
        <f>IFERROR(_xlfn.XLOOKUP($A184,Input_Raw!$A:$A,Input_Raw!CH:CH),"")</f>
        <v/>
      </c>
      <c r="O184" s="137" t="str">
        <f t="shared" si="14"/>
        <v/>
      </c>
      <c r="P184" s="137" t="str">
        <f>IFERROR(1-SUMIF(WTG_BD!$F:$F,$A184,WTG_BD!$AA:$AA)/($AA184+SUMIF(WTG_BD!$F:$F,$A184,WTG_BD!$AA:$AA)),"")</f>
        <v/>
      </c>
      <c r="Q184" s="138" t="str">
        <f>IFERROR(1-SUMIF(IGA_BD!$F:$F,$A184,IGA_BD!$V:$V)/($AA184+SUMIF(IGA_BD!$F:$F,$A184,IGA_BD!$V:$V)),"")</f>
        <v/>
      </c>
      <c r="R184" s="143" t="str">
        <f>IFERROR(1-SUMIF(Grid_BD!$F:$F,$A184,Grid_BD!$X:$X)/($AA184+SUMIF(Grid_BD!$F:$F,$A184,Grid_BD!$X:$X)),"")</f>
        <v/>
      </c>
      <c r="S184" s="121"/>
      <c r="T184" s="138"/>
      <c r="U184" s="139"/>
      <c r="V184" s="121"/>
      <c r="W184" s="140" t="str">
        <f>IFERROR(Table13[[#This Row],[Mtr_Net_Exp (KWh)]]/(24*AR184*1000),"")</f>
        <v/>
      </c>
      <c r="X184" s="121" t="str">
        <f>IFERROR(_xlfn.XLOOKUP($A184,Input_Raw!$A:$A,Input_Raw!$CF:$CF),"")</f>
        <v/>
      </c>
      <c r="Y184" s="121" t="str">
        <f>IFERROR(_xlfn.XLOOKUP($A184,Input_Raw!$A:$A,Input_Raw!$CZ:$CZ),"")</f>
        <v/>
      </c>
      <c r="Z184" s="121" t="str">
        <f>IFERROR(_xlfn.XLOOKUP($A184,Input_Raw!$A:$A,Input_Raw!$DA:$DA),"")</f>
        <v/>
      </c>
      <c r="AA184" s="123" t="str">
        <f t="shared" si="13"/>
        <v/>
      </c>
      <c r="AB184" s="121" t="str">
        <f>IFERROR(_xlfn.XLOOKUP($A184,Input_Raw!$A:$A,Input_Raw!$DG:$DG),"")</f>
        <v/>
      </c>
      <c r="AC184" s="141">
        <f>IFERROR(_xlfn.XLOOKUP($D184,'Modelling New'!$D:$D,'Modelling New'!$J:$J),"")</f>
        <v>5.0333333333333332</v>
      </c>
      <c r="AD184" s="123">
        <f>IFERROR(_xlfn.XLOOKUP($D184,'Modelling New'!$D:$D,'Modelling New'!$T:$T)*1000,"")</f>
        <v>279529.73373197042</v>
      </c>
      <c r="AE184" s="140"/>
      <c r="AF184" s="140">
        <f>IFERROR(_xlfn.XLOOKUP($D184,'Modelling New'!$D:$D,'Modelling New'!$W:$W),"")</f>
        <v>0.14932143895938593</v>
      </c>
      <c r="AG184" s="140">
        <f>IFERROR(_xlfn.XLOOKUP($D184,'Modelling New'!$D:$D,'Modelling New'!$AE:$AE),"")</f>
        <v>0.96029999999999993</v>
      </c>
      <c r="AH184" s="140">
        <f>IFERROR(_xlfn.XLOOKUP($D184,'Modelling New'!$D:$D,'Modelling New'!$AF:$AF),"")</f>
        <v>0.995</v>
      </c>
      <c r="AI184" s="121" t="str">
        <f>IFERROR(_xlfn.XLOOKUP($A184,Input_Raw!$A:$A,Input_Raw!$DE:$DE),"")</f>
        <v/>
      </c>
      <c r="AJ184" s="121"/>
      <c r="AK184" s="121"/>
      <c r="AL184" s="121"/>
      <c r="AM184" s="121"/>
      <c r="AN184" s="142" t="str">
        <f>IFERROR(_xlfn.XLOOKUP($A184,Input_Raw!$A:$A,Input_Raw!$DB:$DB),"")</f>
        <v/>
      </c>
      <c r="AO184" s="140" t="str">
        <f>IFERROR((_xlfn.XLOOKUP($A184,'WTG Reactive Power'!$A:$A,'WTG Reactive Power'!$AR:$AR))/X184/1000,"")</f>
        <v/>
      </c>
      <c r="AP184" s="140">
        <f>IFERROR(_xlfn.XLOOKUP($D184,'Modelling New'!$D:$D,'Modelling New'!$AK:$AK),"")</f>
        <v>0.05</v>
      </c>
      <c r="AQ184" s="140">
        <f>IFERROR(_xlfn.XLOOKUP($D184,'Modelling New'!$D:$D,'Modelling New'!$AL:$AL),"")</f>
        <v>0.05</v>
      </c>
      <c r="AR184">
        <f>IFERROR(_xlfn.XLOOKUP($D184,'Modelling New'!$D:$D,'Modelling New'!$N:$N),"")</f>
        <v>78</v>
      </c>
    </row>
    <row r="185" spans="1:44">
      <c r="A185" s="134">
        <f t="shared" si="15"/>
        <v>45928</v>
      </c>
      <c r="B185" s="123">
        <f>YEAR(Table13[[#This Row],[Date]])+IF(MONTH(Table13[[#This Row],[Date]])&gt;=4,1,0)</f>
        <v>2026</v>
      </c>
      <c r="C185" s="121">
        <f>YEAR(Table13[[#This Row],[Date]])</f>
        <v>2025</v>
      </c>
      <c r="D185" s="135">
        <f>Table13[[#This Row],[Date]]-DAY(Table13[[#This Row],[Date]])+1</f>
        <v>45901</v>
      </c>
      <c r="E185" s="121">
        <f t="shared" si="12"/>
        <v>30</v>
      </c>
      <c r="F185" s="124"/>
      <c r="G185" s="125"/>
      <c r="H185" s="125"/>
      <c r="I185" s="125"/>
      <c r="J185" s="125"/>
      <c r="K185" s="136"/>
      <c r="L185" s="125"/>
      <c r="M185" s="125" t="str">
        <f>IFERROR(_xlfn.XLOOKUP($A185,Input_Raw!$A:$A,Input_Raw!CG:CG),"")</f>
        <v/>
      </c>
      <c r="N185" s="125" t="str">
        <f>IFERROR(_xlfn.XLOOKUP($A185,Input_Raw!$A:$A,Input_Raw!CH:CH),"")</f>
        <v/>
      </c>
      <c r="O185" s="137" t="str">
        <f t="shared" si="14"/>
        <v/>
      </c>
      <c r="P185" s="137" t="str">
        <f>IFERROR(1-SUMIF(WTG_BD!$F:$F,$A185,WTG_BD!$AA:$AA)/($AA185+SUMIF(WTG_BD!$F:$F,$A185,WTG_BD!$AA:$AA)),"")</f>
        <v/>
      </c>
      <c r="Q185" s="138" t="str">
        <f>IFERROR(1-SUMIF(IGA_BD!$F:$F,$A185,IGA_BD!$V:$V)/($AA185+SUMIF(IGA_BD!$F:$F,$A185,IGA_BD!$V:$V)),"")</f>
        <v/>
      </c>
      <c r="R185" s="143" t="str">
        <f>IFERROR(1-SUMIF(Grid_BD!$F:$F,$A185,Grid_BD!$X:$X)/($AA185+SUMIF(Grid_BD!$F:$F,$A185,Grid_BD!$X:$X)),"")</f>
        <v/>
      </c>
      <c r="S185" s="121"/>
      <c r="T185" s="138"/>
      <c r="U185" s="139"/>
      <c r="V185" s="121"/>
      <c r="W185" s="140" t="str">
        <f>IFERROR(Table13[[#This Row],[Mtr_Net_Exp (KWh)]]/(24*AR185*1000),"")</f>
        <v/>
      </c>
      <c r="X185" s="121" t="str">
        <f>IFERROR(_xlfn.XLOOKUP($A185,Input_Raw!$A:$A,Input_Raw!$CF:$CF),"")</f>
        <v/>
      </c>
      <c r="Y185" s="121" t="str">
        <f>IFERROR(_xlfn.XLOOKUP($A185,Input_Raw!$A:$A,Input_Raw!$CZ:$CZ),"")</f>
        <v/>
      </c>
      <c r="Z185" s="121" t="str">
        <f>IFERROR(_xlfn.XLOOKUP($A185,Input_Raw!$A:$A,Input_Raw!$DA:$DA),"")</f>
        <v/>
      </c>
      <c r="AA185" s="123" t="str">
        <f t="shared" si="13"/>
        <v/>
      </c>
      <c r="AB185" s="121" t="str">
        <f>IFERROR(_xlfn.XLOOKUP($A185,Input_Raw!$A:$A,Input_Raw!$DG:$DG),"")</f>
        <v/>
      </c>
      <c r="AC185" s="141">
        <f>IFERROR(_xlfn.XLOOKUP($D185,'Modelling New'!$D:$D,'Modelling New'!$J:$J),"")</f>
        <v>5.0333333333333332</v>
      </c>
      <c r="AD185" s="123">
        <f>IFERROR(_xlfn.XLOOKUP($D185,'Modelling New'!$D:$D,'Modelling New'!$T:$T)*1000,"")</f>
        <v>279529.73373197042</v>
      </c>
      <c r="AE185" s="140"/>
      <c r="AF185" s="140">
        <f>IFERROR(_xlfn.XLOOKUP($D185,'Modelling New'!$D:$D,'Modelling New'!$W:$W),"")</f>
        <v>0.14932143895938593</v>
      </c>
      <c r="AG185" s="140">
        <f>IFERROR(_xlfn.XLOOKUP($D185,'Modelling New'!$D:$D,'Modelling New'!$AE:$AE),"")</f>
        <v>0.96029999999999993</v>
      </c>
      <c r="AH185" s="140">
        <f>IFERROR(_xlfn.XLOOKUP($D185,'Modelling New'!$D:$D,'Modelling New'!$AF:$AF),"")</f>
        <v>0.995</v>
      </c>
      <c r="AI185" s="121" t="str">
        <f>IFERROR(_xlfn.XLOOKUP($A185,Input_Raw!$A:$A,Input_Raw!$DE:$DE),"")</f>
        <v/>
      </c>
      <c r="AJ185" s="121"/>
      <c r="AK185" s="121"/>
      <c r="AL185" s="121"/>
      <c r="AM185" s="121"/>
      <c r="AN185" s="142" t="str">
        <f>IFERROR(_xlfn.XLOOKUP($A185,Input_Raw!$A:$A,Input_Raw!$DB:$DB),"")</f>
        <v/>
      </c>
      <c r="AO185" s="140" t="str">
        <f>IFERROR((_xlfn.XLOOKUP($A185,'WTG Reactive Power'!$A:$A,'WTG Reactive Power'!$AR:$AR))/X185/1000,"")</f>
        <v/>
      </c>
      <c r="AP185" s="140">
        <f>IFERROR(_xlfn.XLOOKUP($D185,'Modelling New'!$D:$D,'Modelling New'!$AK:$AK),"")</f>
        <v>0.05</v>
      </c>
      <c r="AQ185" s="140">
        <f>IFERROR(_xlfn.XLOOKUP($D185,'Modelling New'!$D:$D,'Modelling New'!$AL:$AL),"")</f>
        <v>0.05</v>
      </c>
      <c r="AR185">
        <f>IFERROR(_xlfn.XLOOKUP($D185,'Modelling New'!$D:$D,'Modelling New'!$N:$N),"")</f>
        <v>78</v>
      </c>
    </row>
    <row r="186" spans="1:44">
      <c r="A186" s="134">
        <f t="shared" si="15"/>
        <v>45929</v>
      </c>
      <c r="B186" s="123">
        <f>YEAR(Table13[[#This Row],[Date]])+IF(MONTH(Table13[[#This Row],[Date]])&gt;=4,1,0)</f>
        <v>2026</v>
      </c>
      <c r="C186" s="121">
        <f>YEAR(Table13[[#This Row],[Date]])</f>
        <v>2025</v>
      </c>
      <c r="D186" s="135">
        <f>Table13[[#This Row],[Date]]-DAY(Table13[[#This Row],[Date]])+1</f>
        <v>45901</v>
      </c>
      <c r="E186" s="121">
        <f t="shared" si="12"/>
        <v>30</v>
      </c>
      <c r="F186" s="124"/>
      <c r="G186" s="125"/>
      <c r="H186" s="125"/>
      <c r="I186" s="125"/>
      <c r="J186" s="125"/>
      <c r="K186" s="136"/>
      <c r="L186" s="125"/>
      <c r="M186" s="125" t="str">
        <f>IFERROR(_xlfn.XLOOKUP($A186,Input_Raw!$A:$A,Input_Raw!CG:CG),"")</f>
        <v/>
      </c>
      <c r="N186" s="125" t="str">
        <f>IFERROR(_xlfn.XLOOKUP($A186,Input_Raw!$A:$A,Input_Raw!CH:CH),"")</f>
        <v/>
      </c>
      <c r="O186" s="137" t="str">
        <f t="shared" si="14"/>
        <v/>
      </c>
      <c r="P186" s="137" t="str">
        <f>IFERROR(1-SUMIF(WTG_BD!$F:$F,$A186,WTG_BD!$AA:$AA)/($AA186+SUMIF(WTG_BD!$F:$F,$A186,WTG_BD!$AA:$AA)),"")</f>
        <v/>
      </c>
      <c r="Q186" s="138" t="str">
        <f>IFERROR(1-SUMIF(IGA_BD!$F:$F,$A186,IGA_BD!$V:$V)/($AA186+SUMIF(IGA_BD!$F:$F,$A186,IGA_BD!$V:$V)),"")</f>
        <v/>
      </c>
      <c r="R186" s="143" t="str">
        <f>IFERROR(1-SUMIF(Grid_BD!$F:$F,$A186,Grid_BD!$X:$X)/($AA186+SUMIF(Grid_BD!$F:$F,$A186,Grid_BD!$X:$X)),"")</f>
        <v/>
      </c>
      <c r="S186" s="121"/>
      <c r="T186" s="138"/>
      <c r="U186" s="139"/>
      <c r="V186" s="121"/>
      <c r="W186" s="140" t="str">
        <f>IFERROR(Table13[[#This Row],[Mtr_Net_Exp (KWh)]]/(24*AR186*1000),"")</f>
        <v/>
      </c>
      <c r="X186" s="121" t="str">
        <f>IFERROR(_xlfn.XLOOKUP($A186,Input_Raw!$A:$A,Input_Raw!$CF:$CF),"")</f>
        <v/>
      </c>
      <c r="Y186" s="121" t="str">
        <f>IFERROR(_xlfn.XLOOKUP($A186,Input_Raw!$A:$A,Input_Raw!$CZ:$CZ),"")</f>
        <v/>
      </c>
      <c r="Z186" s="121" t="str">
        <f>IFERROR(_xlfn.XLOOKUP($A186,Input_Raw!$A:$A,Input_Raw!$DA:$DA),"")</f>
        <v/>
      </c>
      <c r="AA186" s="123" t="str">
        <f t="shared" si="13"/>
        <v/>
      </c>
      <c r="AB186" s="121" t="str">
        <f>IFERROR(_xlfn.XLOOKUP($A186,Input_Raw!$A:$A,Input_Raw!$DG:$DG),"")</f>
        <v/>
      </c>
      <c r="AC186" s="141">
        <f>IFERROR(_xlfn.XLOOKUP($D186,'Modelling New'!$D:$D,'Modelling New'!$J:$J),"")</f>
        <v>5.0333333333333332</v>
      </c>
      <c r="AD186" s="123">
        <f>IFERROR(_xlfn.XLOOKUP($D186,'Modelling New'!$D:$D,'Modelling New'!$T:$T)*1000,"")</f>
        <v>279529.73373197042</v>
      </c>
      <c r="AE186" s="140"/>
      <c r="AF186" s="140">
        <f>IFERROR(_xlfn.XLOOKUP($D186,'Modelling New'!$D:$D,'Modelling New'!$W:$W),"")</f>
        <v>0.14932143895938593</v>
      </c>
      <c r="AG186" s="140">
        <f>IFERROR(_xlfn.XLOOKUP($D186,'Modelling New'!$D:$D,'Modelling New'!$AE:$AE),"")</f>
        <v>0.96029999999999993</v>
      </c>
      <c r="AH186" s="140">
        <f>IFERROR(_xlfn.XLOOKUP($D186,'Modelling New'!$D:$D,'Modelling New'!$AF:$AF),"")</f>
        <v>0.995</v>
      </c>
      <c r="AI186" s="121" t="str">
        <f>IFERROR(_xlfn.XLOOKUP($A186,Input_Raw!$A:$A,Input_Raw!$DE:$DE),"")</f>
        <v/>
      </c>
      <c r="AJ186" s="121"/>
      <c r="AK186" s="121"/>
      <c r="AL186" s="121"/>
      <c r="AM186" s="121"/>
      <c r="AN186" s="142" t="str">
        <f>IFERROR(_xlfn.XLOOKUP($A186,Input_Raw!$A:$A,Input_Raw!$DB:$DB),"")</f>
        <v/>
      </c>
      <c r="AO186" s="140" t="str">
        <f>IFERROR((_xlfn.XLOOKUP($A186,'WTG Reactive Power'!$A:$A,'WTG Reactive Power'!$AR:$AR))/X186/1000,"")</f>
        <v/>
      </c>
      <c r="AP186" s="140">
        <f>IFERROR(_xlfn.XLOOKUP($D186,'Modelling New'!$D:$D,'Modelling New'!$AK:$AK),"")</f>
        <v>0.05</v>
      </c>
      <c r="AQ186" s="140">
        <f>IFERROR(_xlfn.XLOOKUP($D186,'Modelling New'!$D:$D,'Modelling New'!$AL:$AL),"")</f>
        <v>0.05</v>
      </c>
      <c r="AR186">
        <f>IFERROR(_xlfn.XLOOKUP($D186,'Modelling New'!$D:$D,'Modelling New'!$N:$N),"")</f>
        <v>78</v>
      </c>
    </row>
    <row r="187" spans="1:44">
      <c r="A187" s="134">
        <f t="shared" si="15"/>
        <v>45930</v>
      </c>
      <c r="B187" s="123">
        <f>YEAR(Table13[[#This Row],[Date]])+IF(MONTH(Table13[[#This Row],[Date]])&gt;=4,1,0)</f>
        <v>2026</v>
      </c>
      <c r="C187" s="121">
        <f>YEAR(Table13[[#This Row],[Date]])</f>
        <v>2025</v>
      </c>
      <c r="D187" s="135">
        <f>Table13[[#This Row],[Date]]-DAY(Table13[[#This Row],[Date]])+1</f>
        <v>45901</v>
      </c>
      <c r="E187" s="121">
        <f t="shared" si="12"/>
        <v>30</v>
      </c>
      <c r="F187" s="124"/>
      <c r="G187" s="125"/>
      <c r="H187" s="125"/>
      <c r="I187" s="125"/>
      <c r="J187" s="125"/>
      <c r="K187" s="136"/>
      <c r="L187" s="125"/>
      <c r="M187" s="125" t="str">
        <f>IFERROR(_xlfn.XLOOKUP($A187,Input_Raw!$A:$A,Input_Raw!CG:CG),"")</f>
        <v/>
      </c>
      <c r="N187" s="125" t="str">
        <f>IFERROR(_xlfn.XLOOKUP($A187,Input_Raw!$A:$A,Input_Raw!CH:CH),"")</f>
        <v/>
      </c>
      <c r="O187" s="137" t="str">
        <f t="shared" si="14"/>
        <v/>
      </c>
      <c r="P187" s="137" t="str">
        <f>IFERROR(1-SUMIF(WTG_BD!$F:$F,$A187,WTG_BD!$AA:$AA)/($AA187+SUMIF(WTG_BD!$F:$F,$A187,WTG_BD!$AA:$AA)),"")</f>
        <v/>
      </c>
      <c r="Q187" s="138" t="str">
        <f>IFERROR(1-SUMIF(IGA_BD!$F:$F,$A187,IGA_BD!$V:$V)/($AA187+SUMIF(IGA_BD!$F:$F,$A187,IGA_BD!$V:$V)),"")</f>
        <v/>
      </c>
      <c r="R187" s="143" t="str">
        <f>IFERROR(1-SUMIF(Grid_BD!$F:$F,$A187,Grid_BD!$X:$X)/($AA187+SUMIF(Grid_BD!$F:$F,$A187,Grid_BD!$X:$X)),"")</f>
        <v/>
      </c>
      <c r="S187" s="121"/>
      <c r="T187" s="138"/>
      <c r="U187" s="139"/>
      <c r="V187" s="121"/>
      <c r="W187" s="140" t="str">
        <f>IFERROR(Table13[[#This Row],[Mtr_Net_Exp (KWh)]]/(24*AR187*1000),"")</f>
        <v/>
      </c>
      <c r="X187" s="121" t="str">
        <f>IFERROR(_xlfn.XLOOKUP($A187,Input_Raw!$A:$A,Input_Raw!$CF:$CF),"")</f>
        <v/>
      </c>
      <c r="Y187" s="121" t="str">
        <f>IFERROR(_xlfn.XLOOKUP($A187,Input_Raw!$A:$A,Input_Raw!$CZ:$CZ),"")</f>
        <v/>
      </c>
      <c r="Z187" s="121" t="str">
        <f>IFERROR(_xlfn.XLOOKUP($A187,Input_Raw!$A:$A,Input_Raw!$DA:$DA),"")</f>
        <v/>
      </c>
      <c r="AA187" s="123" t="str">
        <f t="shared" si="13"/>
        <v/>
      </c>
      <c r="AB187" s="121" t="str">
        <f>IFERROR(_xlfn.XLOOKUP($A187,Input_Raw!$A:$A,Input_Raw!$DG:$DG),"")</f>
        <v/>
      </c>
      <c r="AC187" s="141">
        <f>IFERROR(_xlfn.XLOOKUP($D187,'Modelling New'!$D:$D,'Modelling New'!$J:$J),"")</f>
        <v>5.0333333333333332</v>
      </c>
      <c r="AD187" s="123">
        <f>IFERROR(_xlfn.XLOOKUP($D187,'Modelling New'!$D:$D,'Modelling New'!$T:$T)*1000,"")</f>
        <v>279529.73373197042</v>
      </c>
      <c r="AE187" s="140"/>
      <c r="AF187" s="140">
        <f>IFERROR(_xlfn.XLOOKUP($D187,'Modelling New'!$D:$D,'Modelling New'!$W:$W),"")</f>
        <v>0.14932143895938593</v>
      </c>
      <c r="AG187" s="140">
        <f>IFERROR(_xlfn.XLOOKUP($D187,'Modelling New'!$D:$D,'Modelling New'!$AE:$AE),"")</f>
        <v>0.96029999999999993</v>
      </c>
      <c r="AH187" s="140">
        <f>IFERROR(_xlfn.XLOOKUP($D187,'Modelling New'!$D:$D,'Modelling New'!$AF:$AF),"")</f>
        <v>0.995</v>
      </c>
      <c r="AI187" s="121" t="str">
        <f>IFERROR(_xlfn.XLOOKUP($A187,Input_Raw!$A:$A,Input_Raw!$DE:$DE),"")</f>
        <v/>
      </c>
      <c r="AJ187" s="121"/>
      <c r="AK187" s="121"/>
      <c r="AL187" s="121"/>
      <c r="AM187" s="121"/>
      <c r="AN187" s="142" t="str">
        <f>IFERROR(_xlfn.XLOOKUP($A187,Input_Raw!$A:$A,Input_Raw!$DB:$DB),"")</f>
        <v/>
      </c>
      <c r="AO187" s="140" t="str">
        <f>IFERROR((_xlfn.XLOOKUP($A187,'WTG Reactive Power'!$A:$A,'WTG Reactive Power'!$AR:$AR))/X187/1000,"")</f>
        <v/>
      </c>
      <c r="AP187" s="140">
        <f>IFERROR(_xlfn.XLOOKUP($D187,'Modelling New'!$D:$D,'Modelling New'!$AK:$AK),"")</f>
        <v>0.05</v>
      </c>
      <c r="AQ187" s="140">
        <f>IFERROR(_xlfn.XLOOKUP($D187,'Modelling New'!$D:$D,'Modelling New'!$AL:$AL),"")</f>
        <v>0.05</v>
      </c>
      <c r="AR187">
        <f>IFERROR(_xlfn.XLOOKUP($D187,'Modelling New'!$D:$D,'Modelling New'!$N:$N),"")</f>
        <v>78</v>
      </c>
    </row>
    <row r="188" spans="1:44">
      <c r="A188" s="134">
        <f t="shared" si="15"/>
        <v>45931</v>
      </c>
      <c r="B188" s="123">
        <f>YEAR(Table13[[#This Row],[Date]])+IF(MONTH(Table13[[#This Row],[Date]])&gt;=4,1,0)</f>
        <v>2026</v>
      </c>
      <c r="C188" s="121">
        <f>YEAR(Table13[[#This Row],[Date]])</f>
        <v>2025</v>
      </c>
      <c r="D188" s="135">
        <f>Table13[[#This Row],[Date]]-DAY(Table13[[#This Row],[Date]])+1</f>
        <v>45931</v>
      </c>
      <c r="E188" s="121">
        <f t="shared" si="12"/>
        <v>31</v>
      </c>
      <c r="F188" s="124"/>
      <c r="G188" s="125"/>
      <c r="H188" s="125"/>
      <c r="I188" s="125"/>
      <c r="J188" s="125"/>
      <c r="K188" s="136"/>
      <c r="L188" s="125"/>
      <c r="M188" s="125" t="str">
        <f>IFERROR(_xlfn.XLOOKUP($A188,Input_Raw!$A:$A,Input_Raw!CG:CG),"")</f>
        <v/>
      </c>
      <c r="N188" s="125" t="str">
        <f>IFERROR(_xlfn.XLOOKUP($A188,Input_Raw!$A:$A,Input_Raw!CH:CH),"")</f>
        <v/>
      </c>
      <c r="O188" s="137" t="str">
        <f t="shared" si="14"/>
        <v/>
      </c>
      <c r="P188" s="137" t="str">
        <f>IFERROR(1-SUMIF(WTG_BD!$F:$F,$A188,WTG_BD!$AA:$AA)/($AA188+SUMIF(WTG_BD!$F:$F,$A188,WTG_BD!$AA:$AA)),"")</f>
        <v/>
      </c>
      <c r="Q188" s="138" t="str">
        <f>IFERROR(1-SUMIF(IGA_BD!$F:$F,$A188,IGA_BD!$V:$V)/($AA188+SUMIF(IGA_BD!$F:$F,$A188,IGA_BD!$V:$V)),"")</f>
        <v/>
      </c>
      <c r="R188" s="143" t="str">
        <f>IFERROR(1-SUMIF(Grid_BD!$F:$F,$A188,Grid_BD!$X:$X)/($AA188+SUMIF(Grid_BD!$F:$F,$A188,Grid_BD!$X:$X)),"")</f>
        <v/>
      </c>
      <c r="S188" s="121"/>
      <c r="T188" s="138"/>
      <c r="U188" s="139"/>
      <c r="V188" s="121"/>
      <c r="W188" s="140" t="str">
        <f>IFERROR(Table13[[#This Row],[Mtr_Net_Exp (KWh)]]/(24*AR188*1000),"")</f>
        <v/>
      </c>
      <c r="X188" s="121" t="str">
        <f>IFERROR(_xlfn.XLOOKUP($A188,Input_Raw!$A:$A,Input_Raw!$CF:$CF),"")</f>
        <v/>
      </c>
      <c r="Y188" s="121" t="str">
        <f>IFERROR(_xlfn.XLOOKUP($A188,Input_Raw!$A:$A,Input_Raw!$CZ:$CZ),"")</f>
        <v/>
      </c>
      <c r="Z188" s="121" t="str">
        <f>IFERROR(_xlfn.XLOOKUP($A188,Input_Raw!$A:$A,Input_Raw!$DA:$DA),"")</f>
        <v/>
      </c>
      <c r="AA188" s="123" t="str">
        <f t="shared" si="13"/>
        <v/>
      </c>
      <c r="AB188" s="121" t="str">
        <f>IFERROR(_xlfn.XLOOKUP($A188,Input_Raw!$A:$A,Input_Raw!$DG:$DG),"")</f>
        <v/>
      </c>
      <c r="AC188" s="141">
        <f>IFERROR(_xlfn.XLOOKUP($D188,'Modelling New'!$D:$D,'Modelling New'!$J:$J),"")</f>
        <v>3.9666666666666668</v>
      </c>
      <c r="AD188" s="123">
        <f>IFERROR(_xlfn.XLOOKUP($D188,'Modelling New'!$D:$D,'Modelling New'!$T:$T)*1000,"")</f>
        <v>164597.86033847061</v>
      </c>
      <c r="AE188" s="140"/>
      <c r="AF188" s="140">
        <f>IFERROR(_xlfn.XLOOKUP($D188,'Modelling New'!$D:$D,'Modelling New'!$W:$W),"")</f>
        <v>8.792620744576421E-2</v>
      </c>
      <c r="AG188" s="140">
        <f>IFERROR(_xlfn.XLOOKUP($D188,'Modelling New'!$D:$D,'Modelling New'!$AE:$AE),"")</f>
        <v>0.96029999999999993</v>
      </c>
      <c r="AH188" s="140">
        <f>IFERROR(_xlfn.XLOOKUP($D188,'Modelling New'!$D:$D,'Modelling New'!$AF:$AF),"")</f>
        <v>0.995</v>
      </c>
      <c r="AI188" s="121" t="str">
        <f>IFERROR(_xlfn.XLOOKUP($A188,Input_Raw!$A:$A,Input_Raw!$DE:$DE),"")</f>
        <v/>
      </c>
      <c r="AJ188" s="121"/>
      <c r="AK188" s="121"/>
      <c r="AL188" s="121"/>
      <c r="AM188" s="121"/>
      <c r="AN188" s="142" t="str">
        <f>IFERROR(_xlfn.XLOOKUP($A188,Input_Raw!$A:$A,Input_Raw!$DB:$DB),"")</f>
        <v/>
      </c>
      <c r="AO188" s="140" t="str">
        <f>IFERROR((_xlfn.XLOOKUP($A188,'WTG Reactive Power'!$A:$A,'WTG Reactive Power'!$AR:$AR))/X188/1000,"")</f>
        <v/>
      </c>
      <c r="AP188" s="140">
        <f>IFERROR(_xlfn.XLOOKUP($D188,'Modelling New'!$D:$D,'Modelling New'!$AK:$AK),"")</f>
        <v>0.05</v>
      </c>
      <c r="AQ188" s="140">
        <f>IFERROR(_xlfn.XLOOKUP($D188,'Modelling New'!$D:$D,'Modelling New'!$AL:$AL),"")</f>
        <v>0.05</v>
      </c>
      <c r="AR188">
        <f>IFERROR(_xlfn.XLOOKUP($D188,'Modelling New'!$D:$D,'Modelling New'!$N:$N),"")</f>
        <v>78</v>
      </c>
    </row>
    <row r="189" spans="1:44">
      <c r="A189" s="134">
        <f t="shared" si="15"/>
        <v>45932</v>
      </c>
      <c r="B189" s="123">
        <f>YEAR(Table13[[#This Row],[Date]])+IF(MONTH(Table13[[#This Row],[Date]])&gt;=4,1,0)</f>
        <v>2026</v>
      </c>
      <c r="C189" s="121">
        <f>YEAR(Table13[[#This Row],[Date]])</f>
        <v>2025</v>
      </c>
      <c r="D189" s="135">
        <f>Table13[[#This Row],[Date]]-DAY(Table13[[#This Row],[Date]])+1</f>
        <v>45931</v>
      </c>
      <c r="E189" s="121">
        <f t="shared" si="12"/>
        <v>31</v>
      </c>
      <c r="F189" s="124"/>
      <c r="G189" s="125"/>
      <c r="H189" s="125"/>
      <c r="I189" s="125"/>
      <c r="J189" s="125"/>
      <c r="K189" s="136"/>
      <c r="L189" s="125"/>
      <c r="M189" s="125" t="str">
        <f>IFERROR(_xlfn.XLOOKUP($A189,Input_Raw!$A:$A,Input_Raw!CG:CG),"")</f>
        <v/>
      </c>
      <c r="N189" s="125" t="str">
        <f>IFERROR(_xlfn.XLOOKUP($A189,Input_Raw!$A:$A,Input_Raw!CH:CH),"")</f>
        <v/>
      </c>
      <c r="O189" s="137" t="str">
        <f t="shared" si="14"/>
        <v/>
      </c>
      <c r="P189" s="137" t="str">
        <f>IFERROR(1-SUMIF(WTG_BD!$F:$F,$A189,WTG_BD!$AA:$AA)/($AA189+SUMIF(WTG_BD!$F:$F,$A189,WTG_BD!$AA:$AA)),"")</f>
        <v/>
      </c>
      <c r="Q189" s="138" t="str">
        <f>IFERROR(1-SUMIF(IGA_BD!$F:$F,$A189,IGA_BD!$V:$V)/($AA189+SUMIF(IGA_BD!$F:$F,$A189,IGA_BD!$V:$V)),"")</f>
        <v/>
      </c>
      <c r="R189" s="143" t="str">
        <f>IFERROR(1-SUMIF(Grid_BD!$F:$F,$A189,Grid_BD!$X:$X)/($AA189+SUMIF(Grid_BD!$F:$F,$A189,Grid_BD!$X:$X)),"")</f>
        <v/>
      </c>
      <c r="S189" s="121"/>
      <c r="T189" s="138"/>
      <c r="U189" s="139"/>
      <c r="V189" s="121"/>
      <c r="W189" s="140" t="str">
        <f>IFERROR(Table13[[#This Row],[Mtr_Net_Exp (KWh)]]/(24*AR189*1000),"")</f>
        <v/>
      </c>
      <c r="X189" s="121" t="str">
        <f>IFERROR(_xlfn.XLOOKUP($A189,Input_Raw!$A:$A,Input_Raw!$CF:$CF),"")</f>
        <v/>
      </c>
      <c r="Y189" s="121" t="str">
        <f>IFERROR(_xlfn.XLOOKUP($A189,Input_Raw!$A:$A,Input_Raw!$CZ:$CZ),"")</f>
        <v/>
      </c>
      <c r="Z189" s="121" t="str">
        <f>IFERROR(_xlfn.XLOOKUP($A189,Input_Raw!$A:$A,Input_Raw!$DA:$DA),"")</f>
        <v/>
      </c>
      <c r="AA189" s="123" t="str">
        <f t="shared" si="13"/>
        <v/>
      </c>
      <c r="AB189" s="121" t="str">
        <f>IFERROR(_xlfn.XLOOKUP($A189,Input_Raw!$A:$A,Input_Raw!$DG:$DG),"")</f>
        <v/>
      </c>
      <c r="AC189" s="141">
        <f>IFERROR(_xlfn.XLOOKUP($D189,'Modelling New'!$D:$D,'Modelling New'!$J:$J),"")</f>
        <v>3.9666666666666668</v>
      </c>
      <c r="AD189" s="123">
        <f>IFERROR(_xlfn.XLOOKUP($D189,'Modelling New'!$D:$D,'Modelling New'!$T:$T)*1000,"")</f>
        <v>164597.86033847061</v>
      </c>
      <c r="AE189" s="140"/>
      <c r="AF189" s="140">
        <f>IFERROR(_xlfn.XLOOKUP($D189,'Modelling New'!$D:$D,'Modelling New'!$W:$W),"")</f>
        <v>8.792620744576421E-2</v>
      </c>
      <c r="AG189" s="140">
        <f>IFERROR(_xlfn.XLOOKUP($D189,'Modelling New'!$D:$D,'Modelling New'!$AE:$AE),"")</f>
        <v>0.96029999999999993</v>
      </c>
      <c r="AH189" s="140">
        <f>IFERROR(_xlfn.XLOOKUP($D189,'Modelling New'!$D:$D,'Modelling New'!$AF:$AF),"")</f>
        <v>0.995</v>
      </c>
      <c r="AI189" s="121" t="str">
        <f>IFERROR(_xlfn.XLOOKUP($A189,Input_Raw!$A:$A,Input_Raw!$DE:$DE),"")</f>
        <v/>
      </c>
      <c r="AJ189" s="121"/>
      <c r="AK189" s="121"/>
      <c r="AL189" s="121"/>
      <c r="AM189" s="121"/>
      <c r="AN189" s="142" t="str">
        <f>IFERROR(_xlfn.XLOOKUP($A189,Input_Raw!$A:$A,Input_Raw!$DB:$DB),"")</f>
        <v/>
      </c>
      <c r="AO189" s="140" t="str">
        <f>IFERROR((_xlfn.XLOOKUP($A189,'WTG Reactive Power'!$A:$A,'WTG Reactive Power'!$AR:$AR))/X189/1000,"")</f>
        <v/>
      </c>
      <c r="AP189" s="140">
        <f>IFERROR(_xlfn.XLOOKUP($D189,'Modelling New'!$D:$D,'Modelling New'!$AK:$AK),"")</f>
        <v>0.05</v>
      </c>
      <c r="AQ189" s="140">
        <f>IFERROR(_xlfn.XLOOKUP($D189,'Modelling New'!$D:$D,'Modelling New'!$AL:$AL),"")</f>
        <v>0.05</v>
      </c>
      <c r="AR189">
        <f>IFERROR(_xlfn.XLOOKUP($D189,'Modelling New'!$D:$D,'Modelling New'!$N:$N),"")</f>
        <v>78</v>
      </c>
    </row>
    <row r="190" spans="1:44">
      <c r="A190" s="134">
        <f t="shared" si="15"/>
        <v>45933</v>
      </c>
      <c r="B190" s="123">
        <f>YEAR(Table13[[#This Row],[Date]])+IF(MONTH(Table13[[#This Row],[Date]])&gt;=4,1,0)</f>
        <v>2026</v>
      </c>
      <c r="C190" s="121">
        <f>YEAR(Table13[[#This Row],[Date]])</f>
        <v>2025</v>
      </c>
      <c r="D190" s="135">
        <f>Table13[[#This Row],[Date]]-DAY(Table13[[#This Row],[Date]])+1</f>
        <v>45931</v>
      </c>
      <c r="E190" s="121">
        <f t="shared" si="12"/>
        <v>31</v>
      </c>
      <c r="F190" s="124"/>
      <c r="G190" s="125"/>
      <c r="H190" s="125"/>
      <c r="I190" s="125"/>
      <c r="J190" s="125"/>
      <c r="K190" s="136"/>
      <c r="L190" s="125"/>
      <c r="M190" s="125" t="str">
        <f>IFERROR(_xlfn.XLOOKUP($A190,Input_Raw!$A:$A,Input_Raw!CG:CG),"")</f>
        <v/>
      </c>
      <c r="N190" s="125" t="str">
        <f>IFERROR(_xlfn.XLOOKUP($A190,Input_Raw!$A:$A,Input_Raw!CH:CH),"")</f>
        <v/>
      </c>
      <c r="O190" s="137" t="str">
        <f t="shared" si="14"/>
        <v/>
      </c>
      <c r="P190" s="137" t="str">
        <f>IFERROR(1-SUMIF(WTG_BD!$F:$F,$A190,WTG_BD!$AA:$AA)/($AA190+SUMIF(WTG_BD!$F:$F,$A190,WTG_BD!$AA:$AA)),"")</f>
        <v/>
      </c>
      <c r="Q190" s="138" t="str">
        <f>IFERROR(1-SUMIF(IGA_BD!$F:$F,$A190,IGA_BD!$V:$V)/($AA190+SUMIF(IGA_BD!$F:$F,$A190,IGA_BD!$V:$V)),"")</f>
        <v/>
      </c>
      <c r="R190" s="143" t="str">
        <f>IFERROR(1-SUMIF(Grid_BD!$F:$F,$A190,Grid_BD!$X:$X)/($AA190+SUMIF(Grid_BD!$F:$F,$A190,Grid_BD!$X:$X)),"")</f>
        <v/>
      </c>
      <c r="S190" s="121"/>
      <c r="T190" s="138"/>
      <c r="U190" s="139"/>
      <c r="V190" s="121"/>
      <c r="W190" s="140" t="str">
        <f>IFERROR(Table13[[#This Row],[Mtr_Net_Exp (KWh)]]/(24*AR190*1000),"")</f>
        <v/>
      </c>
      <c r="X190" s="121" t="str">
        <f>IFERROR(_xlfn.XLOOKUP($A190,Input_Raw!$A:$A,Input_Raw!$CF:$CF),"")</f>
        <v/>
      </c>
      <c r="Y190" s="121" t="str">
        <f>IFERROR(_xlfn.XLOOKUP($A190,Input_Raw!$A:$A,Input_Raw!$CZ:$CZ),"")</f>
        <v/>
      </c>
      <c r="Z190" s="121" t="str">
        <f>IFERROR(_xlfn.XLOOKUP($A190,Input_Raw!$A:$A,Input_Raw!$DA:$DA),"")</f>
        <v/>
      </c>
      <c r="AA190" s="123" t="str">
        <f t="shared" si="13"/>
        <v/>
      </c>
      <c r="AB190" s="121" t="str">
        <f>IFERROR(_xlfn.XLOOKUP($A190,Input_Raw!$A:$A,Input_Raw!$DG:$DG),"")</f>
        <v/>
      </c>
      <c r="AC190" s="141">
        <f>IFERROR(_xlfn.XLOOKUP($D190,'Modelling New'!$D:$D,'Modelling New'!$J:$J),"")</f>
        <v>3.9666666666666668</v>
      </c>
      <c r="AD190" s="123">
        <f>IFERROR(_xlfn.XLOOKUP($D190,'Modelling New'!$D:$D,'Modelling New'!$T:$T)*1000,"")</f>
        <v>164597.86033847061</v>
      </c>
      <c r="AE190" s="140"/>
      <c r="AF190" s="140">
        <f>IFERROR(_xlfn.XLOOKUP($D190,'Modelling New'!$D:$D,'Modelling New'!$W:$W),"")</f>
        <v>8.792620744576421E-2</v>
      </c>
      <c r="AG190" s="140">
        <f>IFERROR(_xlfn.XLOOKUP($D190,'Modelling New'!$D:$D,'Modelling New'!$AE:$AE),"")</f>
        <v>0.96029999999999993</v>
      </c>
      <c r="AH190" s="140">
        <f>IFERROR(_xlfn.XLOOKUP($D190,'Modelling New'!$D:$D,'Modelling New'!$AF:$AF),"")</f>
        <v>0.995</v>
      </c>
      <c r="AI190" s="121" t="str">
        <f>IFERROR(_xlfn.XLOOKUP($A190,Input_Raw!$A:$A,Input_Raw!$DE:$DE),"")</f>
        <v/>
      </c>
      <c r="AJ190" s="121"/>
      <c r="AK190" s="121"/>
      <c r="AL190" s="121"/>
      <c r="AM190" s="121"/>
      <c r="AN190" s="142" t="str">
        <f>IFERROR(_xlfn.XLOOKUP($A190,Input_Raw!$A:$A,Input_Raw!$DB:$DB),"")</f>
        <v/>
      </c>
      <c r="AO190" s="140" t="str">
        <f>IFERROR((_xlfn.XLOOKUP($A190,'WTG Reactive Power'!$A:$A,'WTG Reactive Power'!$AR:$AR))/X190/1000,"")</f>
        <v/>
      </c>
      <c r="AP190" s="140">
        <f>IFERROR(_xlfn.XLOOKUP($D190,'Modelling New'!$D:$D,'Modelling New'!$AK:$AK),"")</f>
        <v>0.05</v>
      </c>
      <c r="AQ190" s="140">
        <f>IFERROR(_xlfn.XLOOKUP($D190,'Modelling New'!$D:$D,'Modelling New'!$AL:$AL),"")</f>
        <v>0.05</v>
      </c>
      <c r="AR190">
        <f>IFERROR(_xlfn.XLOOKUP($D190,'Modelling New'!$D:$D,'Modelling New'!$N:$N),"")</f>
        <v>78</v>
      </c>
    </row>
    <row r="191" spans="1:44">
      <c r="A191" s="134">
        <f t="shared" si="15"/>
        <v>45934</v>
      </c>
      <c r="B191" s="123">
        <f>YEAR(Table13[[#This Row],[Date]])+IF(MONTH(Table13[[#This Row],[Date]])&gt;=4,1,0)</f>
        <v>2026</v>
      </c>
      <c r="C191" s="121">
        <f>YEAR(Table13[[#This Row],[Date]])</f>
        <v>2025</v>
      </c>
      <c r="D191" s="135">
        <f>Table13[[#This Row],[Date]]-DAY(Table13[[#This Row],[Date]])+1</f>
        <v>45931</v>
      </c>
      <c r="E191" s="121">
        <f t="shared" ref="E191:E222" si="16">DAY(EOMONTH(A191,0))</f>
        <v>31</v>
      </c>
      <c r="F191" s="124"/>
      <c r="G191" s="125"/>
      <c r="H191" s="125"/>
      <c r="I191" s="125"/>
      <c r="J191" s="125"/>
      <c r="K191" s="136"/>
      <c r="L191" s="125"/>
      <c r="M191" s="125" t="str">
        <f>IFERROR(_xlfn.XLOOKUP($A191,Input_Raw!$A:$A,Input_Raw!CG:CG),"")</f>
        <v/>
      </c>
      <c r="N191" s="125" t="str">
        <f>IFERROR(_xlfn.XLOOKUP($A191,Input_Raw!$A:$A,Input_Raw!CH:CH),"")</f>
        <v/>
      </c>
      <c r="O191" s="137" t="str">
        <f t="shared" ref="O191:O222" si="17">IFERROR(P191*Q191,"")</f>
        <v/>
      </c>
      <c r="P191" s="137" t="str">
        <f>IFERROR(1-SUMIF(WTG_BD!$F:$F,$A191,WTG_BD!$AA:$AA)/($AA191+SUMIF(WTG_BD!$F:$F,$A191,WTG_BD!$AA:$AA)),"")</f>
        <v/>
      </c>
      <c r="Q191" s="138" t="str">
        <f>IFERROR(1-SUMIF(IGA_BD!$F:$F,$A191,IGA_BD!$V:$V)/($AA191+SUMIF(IGA_BD!$F:$F,$A191,IGA_BD!$V:$V)),"")</f>
        <v/>
      </c>
      <c r="R191" s="143" t="str">
        <f>IFERROR(1-SUMIF(Grid_BD!$F:$F,$A191,Grid_BD!$X:$X)/($AA191+SUMIF(Grid_BD!$F:$F,$A191,Grid_BD!$X:$X)),"")</f>
        <v/>
      </c>
      <c r="S191" s="121"/>
      <c r="T191" s="138"/>
      <c r="U191" s="139"/>
      <c r="V191" s="121"/>
      <c r="W191" s="140" t="str">
        <f>IFERROR(Table13[[#This Row],[Mtr_Net_Exp (KWh)]]/(24*AR191*1000),"")</f>
        <v/>
      </c>
      <c r="X191" s="121" t="str">
        <f>IFERROR(_xlfn.XLOOKUP($A191,Input_Raw!$A:$A,Input_Raw!$CF:$CF),"")</f>
        <v/>
      </c>
      <c r="Y191" s="121" t="str">
        <f>IFERROR(_xlfn.XLOOKUP($A191,Input_Raw!$A:$A,Input_Raw!$CZ:$CZ),"")</f>
        <v/>
      </c>
      <c r="Z191" s="121" t="str">
        <f>IFERROR(_xlfn.XLOOKUP($A191,Input_Raw!$A:$A,Input_Raw!$DA:$DA),"")</f>
        <v/>
      </c>
      <c r="AA191" s="123" t="str">
        <f t="shared" ref="AA191:AA222" si="18">IFERROR(Y191-Z191,"")</f>
        <v/>
      </c>
      <c r="AB191" s="121" t="str">
        <f>IFERROR(_xlfn.XLOOKUP($A191,Input_Raw!$A:$A,Input_Raw!$DG:$DG),"")</f>
        <v/>
      </c>
      <c r="AC191" s="141">
        <f>IFERROR(_xlfn.XLOOKUP($D191,'Modelling New'!$D:$D,'Modelling New'!$J:$J),"")</f>
        <v>3.9666666666666668</v>
      </c>
      <c r="AD191" s="123">
        <f>IFERROR(_xlfn.XLOOKUP($D191,'Modelling New'!$D:$D,'Modelling New'!$T:$T)*1000,"")</f>
        <v>164597.86033847061</v>
      </c>
      <c r="AE191" s="140"/>
      <c r="AF191" s="140">
        <f>IFERROR(_xlfn.XLOOKUP($D191,'Modelling New'!$D:$D,'Modelling New'!$W:$W),"")</f>
        <v>8.792620744576421E-2</v>
      </c>
      <c r="AG191" s="140">
        <f>IFERROR(_xlfn.XLOOKUP($D191,'Modelling New'!$D:$D,'Modelling New'!$AE:$AE),"")</f>
        <v>0.96029999999999993</v>
      </c>
      <c r="AH191" s="140">
        <f>IFERROR(_xlfn.XLOOKUP($D191,'Modelling New'!$D:$D,'Modelling New'!$AF:$AF),"")</f>
        <v>0.995</v>
      </c>
      <c r="AI191" s="121" t="str">
        <f>IFERROR(_xlfn.XLOOKUP($A191,Input_Raw!$A:$A,Input_Raw!$DE:$DE),"")</f>
        <v/>
      </c>
      <c r="AJ191" s="121"/>
      <c r="AK191" s="121"/>
      <c r="AL191" s="121"/>
      <c r="AM191" s="121"/>
      <c r="AN191" s="142" t="str">
        <f>IFERROR(_xlfn.XLOOKUP($A191,Input_Raw!$A:$A,Input_Raw!$DB:$DB),"")</f>
        <v/>
      </c>
      <c r="AO191" s="140" t="str">
        <f>IFERROR((_xlfn.XLOOKUP($A191,'WTG Reactive Power'!$A:$A,'WTG Reactive Power'!$AR:$AR))/X191/1000,"")</f>
        <v/>
      </c>
      <c r="AP191" s="140">
        <f>IFERROR(_xlfn.XLOOKUP($D191,'Modelling New'!$D:$D,'Modelling New'!$AK:$AK),"")</f>
        <v>0.05</v>
      </c>
      <c r="AQ191" s="140">
        <f>IFERROR(_xlfn.XLOOKUP($D191,'Modelling New'!$D:$D,'Modelling New'!$AL:$AL),"")</f>
        <v>0.05</v>
      </c>
      <c r="AR191">
        <f>IFERROR(_xlfn.XLOOKUP($D191,'Modelling New'!$D:$D,'Modelling New'!$N:$N),"")</f>
        <v>78</v>
      </c>
    </row>
    <row r="192" spans="1:44">
      <c r="A192" s="134">
        <f t="shared" si="15"/>
        <v>45935</v>
      </c>
      <c r="B192" s="123">
        <f>YEAR(Table13[[#This Row],[Date]])+IF(MONTH(Table13[[#This Row],[Date]])&gt;=4,1,0)</f>
        <v>2026</v>
      </c>
      <c r="C192" s="121">
        <f>YEAR(Table13[[#This Row],[Date]])</f>
        <v>2025</v>
      </c>
      <c r="D192" s="135">
        <f>Table13[[#This Row],[Date]]-DAY(Table13[[#This Row],[Date]])+1</f>
        <v>45931</v>
      </c>
      <c r="E192" s="121">
        <f t="shared" si="16"/>
        <v>31</v>
      </c>
      <c r="F192" s="124"/>
      <c r="G192" s="125"/>
      <c r="H192" s="125"/>
      <c r="I192" s="125"/>
      <c r="J192" s="125"/>
      <c r="K192" s="136"/>
      <c r="L192" s="125"/>
      <c r="M192" s="125" t="str">
        <f>IFERROR(_xlfn.XLOOKUP($A192,Input_Raw!$A:$A,Input_Raw!CG:CG),"")</f>
        <v/>
      </c>
      <c r="N192" s="125" t="str">
        <f>IFERROR(_xlfn.XLOOKUP($A192,Input_Raw!$A:$A,Input_Raw!CH:CH),"")</f>
        <v/>
      </c>
      <c r="O192" s="137" t="str">
        <f t="shared" si="17"/>
        <v/>
      </c>
      <c r="P192" s="137" t="str">
        <f>IFERROR(1-SUMIF(WTG_BD!$F:$F,$A192,WTG_BD!$AA:$AA)/($AA192+SUMIF(WTG_BD!$F:$F,$A192,WTG_BD!$AA:$AA)),"")</f>
        <v/>
      </c>
      <c r="Q192" s="138" t="str">
        <f>IFERROR(1-SUMIF(IGA_BD!$F:$F,$A192,IGA_BD!$V:$V)/($AA192+SUMIF(IGA_BD!$F:$F,$A192,IGA_BD!$V:$V)),"")</f>
        <v/>
      </c>
      <c r="R192" s="143" t="str">
        <f>IFERROR(1-SUMIF(Grid_BD!$F:$F,$A192,Grid_BD!$X:$X)/($AA192+SUMIF(Grid_BD!$F:$F,$A192,Grid_BD!$X:$X)),"")</f>
        <v/>
      </c>
      <c r="S192" s="121"/>
      <c r="T192" s="138"/>
      <c r="U192" s="139"/>
      <c r="V192" s="121"/>
      <c r="W192" s="140" t="str">
        <f>IFERROR(Table13[[#This Row],[Mtr_Net_Exp (KWh)]]/(24*AR192*1000),"")</f>
        <v/>
      </c>
      <c r="X192" s="121" t="str">
        <f>IFERROR(_xlfn.XLOOKUP($A192,Input_Raw!$A:$A,Input_Raw!$CF:$CF),"")</f>
        <v/>
      </c>
      <c r="Y192" s="121" t="str">
        <f>IFERROR(_xlfn.XLOOKUP($A192,Input_Raw!$A:$A,Input_Raw!$CZ:$CZ),"")</f>
        <v/>
      </c>
      <c r="Z192" s="121" t="str">
        <f>IFERROR(_xlfn.XLOOKUP($A192,Input_Raw!$A:$A,Input_Raw!$DA:$DA),"")</f>
        <v/>
      </c>
      <c r="AA192" s="123" t="str">
        <f t="shared" si="18"/>
        <v/>
      </c>
      <c r="AB192" s="121" t="str">
        <f>IFERROR(_xlfn.XLOOKUP($A192,Input_Raw!$A:$A,Input_Raw!$DG:$DG),"")</f>
        <v/>
      </c>
      <c r="AC192" s="141">
        <f>IFERROR(_xlfn.XLOOKUP($D192,'Modelling New'!$D:$D,'Modelling New'!$J:$J),"")</f>
        <v>3.9666666666666668</v>
      </c>
      <c r="AD192" s="123">
        <f>IFERROR(_xlfn.XLOOKUP($D192,'Modelling New'!$D:$D,'Modelling New'!$T:$T)*1000,"")</f>
        <v>164597.86033847061</v>
      </c>
      <c r="AE192" s="140"/>
      <c r="AF192" s="140">
        <f>IFERROR(_xlfn.XLOOKUP($D192,'Modelling New'!$D:$D,'Modelling New'!$W:$W),"")</f>
        <v>8.792620744576421E-2</v>
      </c>
      <c r="AG192" s="140">
        <f>IFERROR(_xlfn.XLOOKUP($D192,'Modelling New'!$D:$D,'Modelling New'!$AE:$AE),"")</f>
        <v>0.96029999999999993</v>
      </c>
      <c r="AH192" s="140">
        <f>IFERROR(_xlfn.XLOOKUP($D192,'Modelling New'!$D:$D,'Modelling New'!$AF:$AF),"")</f>
        <v>0.995</v>
      </c>
      <c r="AI192" s="121" t="str">
        <f>IFERROR(_xlfn.XLOOKUP($A192,Input_Raw!$A:$A,Input_Raw!$DE:$DE),"")</f>
        <v/>
      </c>
      <c r="AJ192" s="121"/>
      <c r="AK192" s="121"/>
      <c r="AL192" s="121"/>
      <c r="AM192" s="121"/>
      <c r="AN192" s="142" t="str">
        <f>IFERROR(_xlfn.XLOOKUP($A192,Input_Raw!$A:$A,Input_Raw!$DB:$DB),"")</f>
        <v/>
      </c>
      <c r="AO192" s="140" t="str">
        <f>IFERROR((_xlfn.XLOOKUP($A192,'WTG Reactive Power'!$A:$A,'WTG Reactive Power'!$AR:$AR))/X192/1000,"")</f>
        <v/>
      </c>
      <c r="AP192" s="140">
        <f>IFERROR(_xlfn.XLOOKUP($D192,'Modelling New'!$D:$D,'Modelling New'!$AK:$AK),"")</f>
        <v>0.05</v>
      </c>
      <c r="AQ192" s="140">
        <f>IFERROR(_xlfn.XLOOKUP($D192,'Modelling New'!$D:$D,'Modelling New'!$AL:$AL),"")</f>
        <v>0.05</v>
      </c>
      <c r="AR192">
        <f>IFERROR(_xlfn.XLOOKUP($D192,'Modelling New'!$D:$D,'Modelling New'!$N:$N),"")</f>
        <v>78</v>
      </c>
    </row>
    <row r="193" spans="1:44">
      <c r="A193" s="134">
        <f t="shared" si="15"/>
        <v>45936</v>
      </c>
      <c r="B193" s="123">
        <f>YEAR(Table13[[#This Row],[Date]])+IF(MONTH(Table13[[#This Row],[Date]])&gt;=4,1,0)</f>
        <v>2026</v>
      </c>
      <c r="C193" s="121">
        <f>YEAR(Table13[[#This Row],[Date]])</f>
        <v>2025</v>
      </c>
      <c r="D193" s="135">
        <f>Table13[[#This Row],[Date]]-DAY(Table13[[#This Row],[Date]])+1</f>
        <v>45931</v>
      </c>
      <c r="E193" s="121">
        <f t="shared" si="16"/>
        <v>31</v>
      </c>
      <c r="F193" s="124"/>
      <c r="G193" s="125"/>
      <c r="H193" s="125"/>
      <c r="I193" s="125"/>
      <c r="J193" s="125"/>
      <c r="K193" s="136"/>
      <c r="L193" s="125"/>
      <c r="M193" s="125" t="str">
        <f>IFERROR(_xlfn.XLOOKUP($A193,Input_Raw!$A:$A,Input_Raw!CG:CG),"")</f>
        <v/>
      </c>
      <c r="N193" s="125" t="str">
        <f>IFERROR(_xlfn.XLOOKUP($A193,Input_Raw!$A:$A,Input_Raw!CH:CH),"")</f>
        <v/>
      </c>
      <c r="O193" s="137" t="str">
        <f t="shared" si="17"/>
        <v/>
      </c>
      <c r="P193" s="137" t="str">
        <f>IFERROR(1-SUMIF(WTG_BD!$F:$F,$A193,WTG_BD!$AA:$AA)/($AA193+SUMIF(WTG_BD!$F:$F,$A193,WTG_BD!$AA:$AA)),"")</f>
        <v/>
      </c>
      <c r="Q193" s="138" t="str">
        <f>IFERROR(1-SUMIF(IGA_BD!$F:$F,$A193,IGA_BD!$V:$V)/($AA193+SUMIF(IGA_BD!$F:$F,$A193,IGA_BD!$V:$V)),"")</f>
        <v/>
      </c>
      <c r="R193" s="143" t="str">
        <f>IFERROR(1-SUMIF(Grid_BD!$F:$F,$A193,Grid_BD!$X:$X)/($AA193+SUMIF(Grid_BD!$F:$F,$A193,Grid_BD!$X:$X)),"")</f>
        <v/>
      </c>
      <c r="S193" s="121"/>
      <c r="T193" s="138"/>
      <c r="U193" s="139"/>
      <c r="V193" s="121"/>
      <c r="W193" s="140" t="str">
        <f>IFERROR(Table13[[#This Row],[Mtr_Net_Exp (KWh)]]/(24*AR193*1000),"")</f>
        <v/>
      </c>
      <c r="X193" s="121" t="str">
        <f>IFERROR(_xlfn.XLOOKUP($A193,Input_Raw!$A:$A,Input_Raw!$CF:$CF),"")</f>
        <v/>
      </c>
      <c r="Y193" s="121" t="str">
        <f>IFERROR(_xlfn.XLOOKUP($A193,Input_Raw!$A:$A,Input_Raw!$CZ:$CZ),"")</f>
        <v/>
      </c>
      <c r="Z193" s="121" t="str">
        <f>IFERROR(_xlfn.XLOOKUP($A193,Input_Raw!$A:$A,Input_Raw!$DA:$DA),"")</f>
        <v/>
      </c>
      <c r="AA193" s="123" t="str">
        <f t="shared" si="18"/>
        <v/>
      </c>
      <c r="AB193" s="121" t="str">
        <f>IFERROR(_xlfn.XLOOKUP($A193,Input_Raw!$A:$A,Input_Raw!$DG:$DG),"")</f>
        <v/>
      </c>
      <c r="AC193" s="141">
        <f>IFERROR(_xlfn.XLOOKUP($D193,'Modelling New'!$D:$D,'Modelling New'!$J:$J),"")</f>
        <v>3.9666666666666668</v>
      </c>
      <c r="AD193" s="123">
        <f>IFERROR(_xlfn.XLOOKUP($D193,'Modelling New'!$D:$D,'Modelling New'!$T:$T)*1000,"")</f>
        <v>164597.86033847061</v>
      </c>
      <c r="AE193" s="140"/>
      <c r="AF193" s="140">
        <f>IFERROR(_xlfn.XLOOKUP($D193,'Modelling New'!$D:$D,'Modelling New'!$W:$W),"")</f>
        <v>8.792620744576421E-2</v>
      </c>
      <c r="AG193" s="140">
        <f>IFERROR(_xlfn.XLOOKUP($D193,'Modelling New'!$D:$D,'Modelling New'!$AE:$AE),"")</f>
        <v>0.96029999999999993</v>
      </c>
      <c r="AH193" s="140">
        <f>IFERROR(_xlfn.XLOOKUP($D193,'Modelling New'!$D:$D,'Modelling New'!$AF:$AF),"")</f>
        <v>0.995</v>
      </c>
      <c r="AI193" s="121" t="str">
        <f>IFERROR(_xlfn.XLOOKUP($A193,Input_Raw!$A:$A,Input_Raw!$DE:$DE),"")</f>
        <v/>
      </c>
      <c r="AJ193" s="121"/>
      <c r="AK193" s="121"/>
      <c r="AL193" s="121"/>
      <c r="AM193" s="121"/>
      <c r="AN193" s="142" t="str">
        <f>IFERROR(_xlfn.XLOOKUP($A193,Input_Raw!$A:$A,Input_Raw!$DB:$DB),"")</f>
        <v/>
      </c>
      <c r="AO193" s="140" t="str">
        <f>IFERROR((_xlfn.XLOOKUP($A193,'WTG Reactive Power'!$A:$A,'WTG Reactive Power'!$AR:$AR))/X193/1000,"")</f>
        <v/>
      </c>
      <c r="AP193" s="140">
        <f>IFERROR(_xlfn.XLOOKUP($D193,'Modelling New'!$D:$D,'Modelling New'!$AK:$AK),"")</f>
        <v>0.05</v>
      </c>
      <c r="AQ193" s="140">
        <f>IFERROR(_xlfn.XLOOKUP($D193,'Modelling New'!$D:$D,'Modelling New'!$AL:$AL),"")</f>
        <v>0.05</v>
      </c>
      <c r="AR193">
        <f>IFERROR(_xlfn.XLOOKUP($D193,'Modelling New'!$D:$D,'Modelling New'!$N:$N),"")</f>
        <v>78</v>
      </c>
    </row>
    <row r="194" spans="1:44">
      <c r="A194" s="134">
        <f t="shared" si="15"/>
        <v>45937</v>
      </c>
      <c r="B194" s="123">
        <f>YEAR(Table13[[#This Row],[Date]])+IF(MONTH(Table13[[#This Row],[Date]])&gt;=4,1,0)</f>
        <v>2026</v>
      </c>
      <c r="C194" s="121">
        <f>YEAR(Table13[[#This Row],[Date]])</f>
        <v>2025</v>
      </c>
      <c r="D194" s="135">
        <f>Table13[[#This Row],[Date]]-DAY(Table13[[#This Row],[Date]])+1</f>
        <v>45931</v>
      </c>
      <c r="E194" s="121">
        <f t="shared" si="16"/>
        <v>31</v>
      </c>
      <c r="F194" s="124"/>
      <c r="G194" s="125"/>
      <c r="H194" s="125"/>
      <c r="I194" s="125"/>
      <c r="J194" s="125"/>
      <c r="K194" s="136"/>
      <c r="L194" s="125"/>
      <c r="M194" s="125" t="str">
        <f>IFERROR(_xlfn.XLOOKUP($A194,Input_Raw!$A:$A,Input_Raw!CG:CG),"")</f>
        <v/>
      </c>
      <c r="N194" s="125" t="str">
        <f>IFERROR(_xlfn.XLOOKUP($A194,Input_Raw!$A:$A,Input_Raw!CH:CH),"")</f>
        <v/>
      </c>
      <c r="O194" s="137" t="str">
        <f t="shared" si="17"/>
        <v/>
      </c>
      <c r="P194" s="137" t="str">
        <f>IFERROR(1-SUMIF(WTG_BD!$F:$F,$A194,WTG_BD!$AA:$AA)/($AA194+SUMIF(WTG_BD!$F:$F,$A194,WTG_BD!$AA:$AA)),"")</f>
        <v/>
      </c>
      <c r="Q194" s="138" t="str">
        <f>IFERROR(1-SUMIF(IGA_BD!$F:$F,$A194,IGA_BD!$V:$V)/($AA194+SUMIF(IGA_BD!$F:$F,$A194,IGA_BD!$V:$V)),"")</f>
        <v/>
      </c>
      <c r="R194" s="143" t="str">
        <f>IFERROR(1-SUMIF(Grid_BD!$F:$F,$A194,Grid_BD!$X:$X)/($AA194+SUMIF(Grid_BD!$F:$F,$A194,Grid_BD!$X:$X)),"")</f>
        <v/>
      </c>
      <c r="S194" s="121"/>
      <c r="T194" s="138"/>
      <c r="U194" s="139"/>
      <c r="V194" s="121"/>
      <c r="W194" s="140" t="str">
        <f>IFERROR(Table13[[#This Row],[Mtr_Net_Exp (KWh)]]/(24*AR194*1000),"")</f>
        <v/>
      </c>
      <c r="X194" s="121" t="str">
        <f>IFERROR(_xlfn.XLOOKUP($A194,Input_Raw!$A:$A,Input_Raw!$CF:$CF),"")</f>
        <v/>
      </c>
      <c r="Y194" s="121" t="str">
        <f>IFERROR(_xlfn.XLOOKUP($A194,Input_Raw!$A:$A,Input_Raw!$CZ:$CZ),"")</f>
        <v/>
      </c>
      <c r="Z194" s="121" t="str">
        <f>IFERROR(_xlfn.XLOOKUP($A194,Input_Raw!$A:$A,Input_Raw!$DA:$DA),"")</f>
        <v/>
      </c>
      <c r="AA194" s="123" t="str">
        <f t="shared" si="18"/>
        <v/>
      </c>
      <c r="AB194" s="121" t="str">
        <f>IFERROR(_xlfn.XLOOKUP($A194,Input_Raw!$A:$A,Input_Raw!$DG:$DG),"")</f>
        <v/>
      </c>
      <c r="AC194" s="141">
        <f>IFERROR(_xlfn.XLOOKUP($D194,'Modelling New'!$D:$D,'Modelling New'!$J:$J),"")</f>
        <v>3.9666666666666668</v>
      </c>
      <c r="AD194" s="123">
        <f>IFERROR(_xlfn.XLOOKUP($D194,'Modelling New'!$D:$D,'Modelling New'!$T:$T)*1000,"")</f>
        <v>164597.86033847061</v>
      </c>
      <c r="AE194" s="140"/>
      <c r="AF194" s="140">
        <f>IFERROR(_xlfn.XLOOKUP($D194,'Modelling New'!$D:$D,'Modelling New'!$W:$W),"")</f>
        <v>8.792620744576421E-2</v>
      </c>
      <c r="AG194" s="140">
        <f>IFERROR(_xlfn.XLOOKUP($D194,'Modelling New'!$D:$D,'Modelling New'!$AE:$AE),"")</f>
        <v>0.96029999999999993</v>
      </c>
      <c r="AH194" s="140">
        <f>IFERROR(_xlfn.XLOOKUP($D194,'Modelling New'!$D:$D,'Modelling New'!$AF:$AF),"")</f>
        <v>0.995</v>
      </c>
      <c r="AI194" s="121" t="str">
        <f>IFERROR(_xlfn.XLOOKUP($A194,Input_Raw!$A:$A,Input_Raw!$DE:$DE),"")</f>
        <v/>
      </c>
      <c r="AJ194" s="121"/>
      <c r="AK194" s="121"/>
      <c r="AL194" s="121"/>
      <c r="AM194" s="121"/>
      <c r="AN194" s="142" t="str">
        <f>IFERROR(_xlfn.XLOOKUP($A194,Input_Raw!$A:$A,Input_Raw!$DB:$DB),"")</f>
        <v/>
      </c>
      <c r="AO194" s="140" t="str">
        <f>IFERROR((_xlfn.XLOOKUP($A194,'WTG Reactive Power'!$A:$A,'WTG Reactive Power'!$AR:$AR))/X194/1000,"")</f>
        <v/>
      </c>
      <c r="AP194" s="140">
        <f>IFERROR(_xlfn.XLOOKUP($D194,'Modelling New'!$D:$D,'Modelling New'!$AK:$AK),"")</f>
        <v>0.05</v>
      </c>
      <c r="AQ194" s="140">
        <f>IFERROR(_xlfn.XLOOKUP($D194,'Modelling New'!$D:$D,'Modelling New'!$AL:$AL),"")</f>
        <v>0.05</v>
      </c>
      <c r="AR194">
        <f>IFERROR(_xlfn.XLOOKUP($D194,'Modelling New'!$D:$D,'Modelling New'!$N:$N),"")</f>
        <v>78</v>
      </c>
    </row>
    <row r="195" spans="1:44">
      <c r="A195" s="134">
        <f t="shared" si="15"/>
        <v>45938</v>
      </c>
      <c r="B195" s="123">
        <f>YEAR(Table13[[#This Row],[Date]])+IF(MONTH(Table13[[#This Row],[Date]])&gt;=4,1,0)</f>
        <v>2026</v>
      </c>
      <c r="C195" s="121">
        <f>YEAR(Table13[[#This Row],[Date]])</f>
        <v>2025</v>
      </c>
      <c r="D195" s="135">
        <f>Table13[[#This Row],[Date]]-DAY(Table13[[#This Row],[Date]])+1</f>
        <v>45931</v>
      </c>
      <c r="E195" s="121">
        <f t="shared" si="16"/>
        <v>31</v>
      </c>
      <c r="F195" s="124"/>
      <c r="G195" s="125"/>
      <c r="H195" s="125"/>
      <c r="I195" s="125"/>
      <c r="J195" s="125"/>
      <c r="K195" s="136"/>
      <c r="L195" s="125"/>
      <c r="M195" s="125" t="str">
        <f>IFERROR(_xlfn.XLOOKUP($A195,Input_Raw!$A:$A,Input_Raw!CG:CG),"")</f>
        <v/>
      </c>
      <c r="N195" s="125" t="str">
        <f>IFERROR(_xlfn.XLOOKUP($A195,Input_Raw!$A:$A,Input_Raw!CH:CH),"")</f>
        <v/>
      </c>
      <c r="O195" s="137" t="str">
        <f t="shared" si="17"/>
        <v/>
      </c>
      <c r="P195" s="137" t="str">
        <f>IFERROR(1-SUMIF(WTG_BD!$F:$F,$A195,WTG_BD!$AA:$AA)/($AA195+SUMIF(WTG_BD!$F:$F,$A195,WTG_BD!$AA:$AA)),"")</f>
        <v/>
      </c>
      <c r="Q195" s="138" t="str">
        <f>IFERROR(1-SUMIF(IGA_BD!$F:$F,$A195,IGA_BD!$V:$V)/($AA195+SUMIF(IGA_BD!$F:$F,$A195,IGA_BD!$V:$V)),"")</f>
        <v/>
      </c>
      <c r="R195" s="143" t="str">
        <f>IFERROR(1-SUMIF(Grid_BD!$F:$F,$A195,Grid_BD!$X:$X)/($AA195+SUMIF(Grid_BD!$F:$F,$A195,Grid_BD!$X:$X)),"")</f>
        <v/>
      </c>
      <c r="S195" s="121"/>
      <c r="T195" s="138"/>
      <c r="U195" s="139"/>
      <c r="V195" s="121"/>
      <c r="W195" s="140" t="str">
        <f>IFERROR(Table13[[#This Row],[Mtr_Net_Exp (KWh)]]/(24*AR195*1000),"")</f>
        <v/>
      </c>
      <c r="X195" s="121" t="str">
        <f>IFERROR(_xlfn.XLOOKUP($A195,Input_Raw!$A:$A,Input_Raw!$CF:$CF),"")</f>
        <v/>
      </c>
      <c r="Y195" s="121" t="str">
        <f>IFERROR(_xlfn.XLOOKUP($A195,Input_Raw!$A:$A,Input_Raw!$CZ:$CZ),"")</f>
        <v/>
      </c>
      <c r="Z195" s="121" t="str">
        <f>IFERROR(_xlfn.XLOOKUP($A195,Input_Raw!$A:$A,Input_Raw!$DA:$DA),"")</f>
        <v/>
      </c>
      <c r="AA195" s="123" t="str">
        <f t="shared" si="18"/>
        <v/>
      </c>
      <c r="AB195" s="121" t="str">
        <f>IFERROR(_xlfn.XLOOKUP($A195,Input_Raw!$A:$A,Input_Raw!$DG:$DG),"")</f>
        <v/>
      </c>
      <c r="AC195" s="141">
        <f>IFERROR(_xlfn.XLOOKUP($D195,'Modelling New'!$D:$D,'Modelling New'!$J:$J),"")</f>
        <v>3.9666666666666668</v>
      </c>
      <c r="AD195" s="123">
        <f>IFERROR(_xlfn.XLOOKUP($D195,'Modelling New'!$D:$D,'Modelling New'!$T:$T)*1000,"")</f>
        <v>164597.86033847061</v>
      </c>
      <c r="AE195" s="140"/>
      <c r="AF195" s="140">
        <f>IFERROR(_xlfn.XLOOKUP($D195,'Modelling New'!$D:$D,'Modelling New'!$W:$W),"")</f>
        <v>8.792620744576421E-2</v>
      </c>
      <c r="AG195" s="140">
        <f>IFERROR(_xlfn.XLOOKUP($D195,'Modelling New'!$D:$D,'Modelling New'!$AE:$AE),"")</f>
        <v>0.96029999999999993</v>
      </c>
      <c r="AH195" s="140">
        <f>IFERROR(_xlfn.XLOOKUP($D195,'Modelling New'!$D:$D,'Modelling New'!$AF:$AF),"")</f>
        <v>0.995</v>
      </c>
      <c r="AI195" s="121" t="str">
        <f>IFERROR(_xlfn.XLOOKUP($A195,Input_Raw!$A:$A,Input_Raw!$DE:$DE),"")</f>
        <v/>
      </c>
      <c r="AJ195" s="121"/>
      <c r="AK195" s="121"/>
      <c r="AL195" s="121"/>
      <c r="AM195" s="121"/>
      <c r="AN195" s="142" t="str">
        <f>IFERROR(_xlfn.XLOOKUP($A195,Input_Raw!$A:$A,Input_Raw!$DB:$DB),"")</f>
        <v/>
      </c>
      <c r="AO195" s="140" t="str">
        <f>IFERROR((_xlfn.XLOOKUP($A195,'WTG Reactive Power'!$A:$A,'WTG Reactive Power'!$AR:$AR))/X195/1000,"")</f>
        <v/>
      </c>
      <c r="AP195" s="140">
        <f>IFERROR(_xlfn.XLOOKUP($D195,'Modelling New'!$D:$D,'Modelling New'!$AK:$AK),"")</f>
        <v>0.05</v>
      </c>
      <c r="AQ195" s="140">
        <f>IFERROR(_xlfn.XLOOKUP($D195,'Modelling New'!$D:$D,'Modelling New'!$AL:$AL),"")</f>
        <v>0.05</v>
      </c>
      <c r="AR195">
        <f>IFERROR(_xlfn.XLOOKUP($D195,'Modelling New'!$D:$D,'Modelling New'!$N:$N),"")</f>
        <v>78</v>
      </c>
    </row>
    <row r="196" spans="1:44">
      <c r="A196" s="134">
        <f t="shared" si="15"/>
        <v>45939</v>
      </c>
      <c r="B196" s="123">
        <f>YEAR(Table13[[#This Row],[Date]])+IF(MONTH(Table13[[#This Row],[Date]])&gt;=4,1,0)</f>
        <v>2026</v>
      </c>
      <c r="C196" s="121">
        <f>YEAR(Table13[[#This Row],[Date]])</f>
        <v>2025</v>
      </c>
      <c r="D196" s="135">
        <f>Table13[[#This Row],[Date]]-DAY(Table13[[#This Row],[Date]])+1</f>
        <v>45931</v>
      </c>
      <c r="E196" s="121">
        <f t="shared" si="16"/>
        <v>31</v>
      </c>
      <c r="F196" s="124"/>
      <c r="G196" s="125"/>
      <c r="H196" s="125"/>
      <c r="I196" s="125"/>
      <c r="J196" s="125"/>
      <c r="K196" s="136"/>
      <c r="L196" s="125"/>
      <c r="M196" s="125" t="str">
        <f>IFERROR(_xlfn.XLOOKUP($A196,Input_Raw!$A:$A,Input_Raw!CG:CG),"")</f>
        <v/>
      </c>
      <c r="N196" s="125" t="str">
        <f>IFERROR(_xlfn.XLOOKUP($A196,Input_Raw!$A:$A,Input_Raw!CH:CH),"")</f>
        <v/>
      </c>
      <c r="O196" s="137" t="str">
        <f t="shared" si="17"/>
        <v/>
      </c>
      <c r="P196" s="137" t="str">
        <f>IFERROR(1-SUMIF(WTG_BD!$F:$F,$A196,WTG_BD!$AA:$AA)/($AA196+SUMIF(WTG_BD!$F:$F,$A196,WTG_BD!$AA:$AA)),"")</f>
        <v/>
      </c>
      <c r="Q196" s="138" t="str">
        <f>IFERROR(1-SUMIF(IGA_BD!$F:$F,$A196,IGA_BD!$V:$V)/($AA196+SUMIF(IGA_BD!$F:$F,$A196,IGA_BD!$V:$V)),"")</f>
        <v/>
      </c>
      <c r="R196" s="143" t="str">
        <f>IFERROR(1-SUMIF(Grid_BD!$F:$F,$A196,Grid_BD!$X:$X)/($AA196+SUMIF(Grid_BD!$F:$F,$A196,Grid_BD!$X:$X)),"")</f>
        <v/>
      </c>
      <c r="S196" s="121"/>
      <c r="T196" s="138"/>
      <c r="U196" s="139"/>
      <c r="V196" s="121"/>
      <c r="W196" s="140" t="str">
        <f>IFERROR(Table13[[#This Row],[Mtr_Net_Exp (KWh)]]/(24*AR196*1000),"")</f>
        <v/>
      </c>
      <c r="X196" s="121" t="str">
        <f>IFERROR(_xlfn.XLOOKUP($A196,Input_Raw!$A:$A,Input_Raw!$CF:$CF),"")</f>
        <v/>
      </c>
      <c r="Y196" s="121" t="str">
        <f>IFERROR(_xlfn.XLOOKUP($A196,Input_Raw!$A:$A,Input_Raw!$CZ:$CZ),"")</f>
        <v/>
      </c>
      <c r="Z196" s="121" t="str">
        <f>IFERROR(_xlfn.XLOOKUP($A196,Input_Raw!$A:$A,Input_Raw!$DA:$DA),"")</f>
        <v/>
      </c>
      <c r="AA196" s="123" t="str">
        <f t="shared" si="18"/>
        <v/>
      </c>
      <c r="AB196" s="121" t="str">
        <f>IFERROR(_xlfn.XLOOKUP($A196,Input_Raw!$A:$A,Input_Raw!$DG:$DG),"")</f>
        <v/>
      </c>
      <c r="AC196" s="141">
        <f>IFERROR(_xlfn.XLOOKUP($D196,'Modelling New'!$D:$D,'Modelling New'!$J:$J),"")</f>
        <v>3.9666666666666668</v>
      </c>
      <c r="AD196" s="123">
        <f>IFERROR(_xlfn.XLOOKUP($D196,'Modelling New'!$D:$D,'Modelling New'!$T:$T)*1000,"")</f>
        <v>164597.86033847061</v>
      </c>
      <c r="AE196" s="140"/>
      <c r="AF196" s="140">
        <f>IFERROR(_xlfn.XLOOKUP($D196,'Modelling New'!$D:$D,'Modelling New'!$W:$W),"")</f>
        <v>8.792620744576421E-2</v>
      </c>
      <c r="AG196" s="140">
        <f>IFERROR(_xlfn.XLOOKUP($D196,'Modelling New'!$D:$D,'Modelling New'!$AE:$AE),"")</f>
        <v>0.96029999999999993</v>
      </c>
      <c r="AH196" s="140">
        <f>IFERROR(_xlfn.XLOOKUP($D196,'Modelling New'!$D:$D,'Modelling New'!$AF:$AF),"")</f>
        <v>0.995</v>
      </c>
      <c r="AI196" s="121" t="str">
        <f>IFERROR(_xlfn.XLOOKUP($A196,Input_Raw!$A:$A,Input_Raw!$DE:$DE),"")</f>
        <v/>
      </c>
      <c r="AJ196" s="121"/>
      <c r="AK196" s="121"/>
      <c r="AL196" s="121"/>
      <c r="AM196" s="121"/>
      <c r="AN196" s="142" t="str">
        <f>IFERROR(_xlfn.XLOOKUP($A196,Input_Raw!$A:$A,Input_Raw!$DB:$DB),"")</f>
        <v/>
      </c>
      <c r="AO196" s="140" t="str">
        <f>IFERROR((_xlfn.XLOOKUP($A196,'WTG Reactive Power'!$A:$A,'WTG Reactive Power'!$AR:$AR))/X196/1000,"")</f>
        <v/>
      </c>
      <c r="AP196" s="140">
        <f>IFERROR(_xlfn.XLOOKUP($D196,'Modelling New'!$D:$D,'Modelling New'!$AK:$AK),"")</f>
        <v>0.05</v>
      </c>
      <c r="AQ196" s="140">
        <f>IFERROR(_xlfn.XLOOKUP($D196,'Modelling New'!$D:$D,'Modelling New'!$AL:$AL),"")</f>
        <v>0.05</v>
      </c>
      <c r="AR196">
        <f>IFERROR(_xlfn.XLOOKUP($D196,'Modelling New'!$D:$D,'Modelling New'!$N:$N),"")</f>
        <v>78</v>
      </c>
    </row>
    <row r="197" spans="1:44">
      <c r="A197" s="134">
        <f t="shared" si="15"/>
        <v>45940</v>
      </c>
      <c r="B197" s="123">
        <f>YEAR(Table13[[#This Row],[Date]])+IF(MONTH(Table13[[#This Row],[Date]])&gt;=4,1,0)</f>
        <v>2026</v>
      </c>
      <c r="C197" s="121">
        <f>YEAR(Table13[[#This Row],[Date]])</f>
        <v>2025</v>
      </c>
      <c r="D197" s="135">
        <f>Table13[[#This Row],[Date]]-DAY(Table13[[#This Row],[Date]])+1</f>
        <v>45931</v>
      </c>
      <c r="E197" s="121">
        <f t="shared" si="16"/>
        <v>31</v>
      </c>
      <c r="F197" s="124"/>
      <c r="G197" s="125"/>
      <c r="H197" s="125"/>
      <c r="I197" s="125"/>
      <c r="J197" s="125"/>
      <c r="K197" s="136"/>
      <c r="L197" s="125"/>
      <c r="M197" s="125" t="str">
        <f>IFERROR(_xlfn.XLOOKUP($A197,Input_Raw!$A:$A,Input_Raw!CG:CG),"")</f>
        <v/>
      </c>
      <c r="N197" s="125" t="str">
        <f>IFERROR(_xlfn.XLOOKUP($A197,Input_Raw!$A:$A,Input_Raw!CH:CH),"")</f>
        <v/>
      </c>
      <c r="O197" s="137" t="str">
        <f t="shared" si="17"/>
        <v/>
      </c>
      <c r="P197" s="137" t="str">
        <f>IFERROR(1-SUMIF(WTG_BD!$F:$F,$A197,WTG_BD!$AA:$AA)/($AA197+SUMIF(WTG_BD!$F:$F,$A197,WTG_BD!$AA:$AA)),"")</f>
        <v/>
      </c>
      <c r="Q197" s="138" t="str">
        <f>IFERROR(1-SUMIF(IGA_BD!$F:$F,$A197,IGA_BD!$V:$V)/($AA197+SUMIF(IGA_BD!$F:$F,$A197,IGA_BD!$V:$V)),"")</f>
        <v/>
      </c>
      <c r="R197" s="143" t="str">
        <f>IFERROR(1-SUMIF(Grid_BD!$F:$F,$A197,Grid_BD!$X:$X)/($AA197+SUMIF(Grid_BD!$F:$F,$A197,Grid_BD!$X:$X)),"")</f>
        <v/>
      </c>
      <c r="S197" s="121"/>
      <c r="T197" s="138"/>
      <c r="U197" s="139"/>
      <c r="V197" s="121"/>
      <c r="W197" s="140" t="str">
        <f>IFERROR(Table13[[#This Row],[Mtr_Net_Exp (KWh)]]/(24*AR197*1000),"")</f>
        <v/>
      </c>
      <c r="X197" s="121" t="str">
        <f>IFERROR(_xlfn.XLOOKUP($A197,Input_Raw!$A:$A,Input_Raw!$CF:$CF),"")</f>
        <v/>
      </c>
      <c r="Y197" s="121" t="str">
        <f>IFERROR(_xlfn.XLOOKUP($A197,Input_Raw!$A:$A,Input_Raw!$CZ:$CZ),"")</f>
        <v/>
      </c>
      <c r="Z197" s="121" t="str">
        <f>IFERROR(_xlfn.XLOOKUP($A197,Input_Raw!$A:$A,Input_Raw!$DA:$DA),"")</f>
        <v/>
      </c>
      <c r="AA197" s="123" t="str">
        <f t="shared" si="18"/>
        <v/>
      </c>
      <c r="AB197" s="121" t="str">
        <f>IFERROR(_xlfn.XLOOKUP($A197,Input_Raw!$A:$A,Input_Raw!$DG:$DG),"")</f>
        <v/>
      </c>
      <c r="AC197" s="141">
        <f>IFERROR(_xlfn.XLOOKUP($D197,'Modelling New'!$D:$D,'Modelling New'!$J:$J),"")</f>
        <v>3.9666666666666668</v>
      </c>
      <c r="AD197" s="123">
        <f>IFERROR(_xlfn.XLOOKUP($D197,'Modelling New'!$D:$D,'Modelling New'!$T:$T)*1000,"")</f>
        <v>164597.86033847061</v>
      </c>
      <c r="AE197" s="140"/>
      <c r="AF197" s="140">
        <f>IFERROR(_xlfn.XLOOKUP($D197,'Modelling New'!$D:$D,'Modelling New'!$W:$W),"")</f>
        <v>8.792620744576421E-2</v>
      </c>
      <c r="AG197" s="140">
        <f>IFERROR(_xlfn.XLOOKUP($D197,'Modelling New'!$D:$D,'Modelling New'!$AE:$AE),"")</f>
        <v>0.96029999999999993</v>
      </c>
      <c r="AH197" s="140">
        <f>IFERROR(_xlfn.XLOOKUP($D197,'Modelling New'!$D:$D,'Modelling New'!$AF:$AF),"")</f>
        <v>0.995</v>
      </c>
      <c r="AI197" s="121" t="str">
        <f>IFERROR(_xlfn.XLOOKUP($A197,Input_Raw!$A:$A,Input_Raw!$DE:$DE),"")</f>
        <v/>
      </c>
      <c r="AJ197" s="121"/>
      <c r="AK197" s="121"/>
      <c r="AL197" s="121"/>
      <c r="AM197" s="121"/>
      <c r="AN197" s="142" t="str">
        <f>IFERROR(_xlfn.XLOOKUP($A197,Input_Raw!$A:$A,Input_Raw!$DB:$DB),"")</f>
        <v/>
      </c>
      <c r="AO197" s="140" t="str">
        <f>IFERROR((_xlfn.XLOOKUP($A197,'WTG Reactive Power'!$A:$A,'WTG Reactive Power'!$AR:$AR))/X197/1000,"")</f>
        <v/>
      </c>
      <c r="AP197" s="140">
        <f>IFERROR(_xlfn.XLOOKUP($D197,'Modelling New'!$D:$D,'Modelling New'!$AK:$AK),"")</f>
        <v>0.05</v>
      </c>
      <c r="AQ197" s="140">
        <f>IFERROR(_xlfn.XLOOKUP($D197,'Modelling New'!$D:$D,'Modelling New'!$AL:$AL),"")</f>
        <v>0.05</v>
      </c>
      <c r="AR197">
        <f>IFERROR(_xlfn.XLOOKUP($D197,'Modelling New'!$D:$D,'Modelling New'!$N:$N),"")</f>
        <v>78</v>
      </c>
    </row>
    <row r="198" spans="1:44">
      <c r="A198" s="134">
        <f t="shared" si="15"/>
        <v>45941</v>
      </c>
      <c r="B198" s="123">
        <f>YEAR(Table13[[#This Row],[Date]])+IF(MONTH(Table13[[#This Row],[Date]])&gt;=4,1,0)</f>
        <v>2026</v>
      </c>
      <c r="C198" s="121">
        <f>YEAR(Table13[[#This Row],[Date]])</f>
        <v>2025</v>
      </c>
      <c r="D198" s="135">
        <f>Table13[[#This Row],[Date]]-DAY(Table13[[#This Row],[Date]])+1</f>
        <v>45931</v>
      </c>
      <c r="E198" s="121">
        <f t="shared" si="16"/>
        <v>31</v>
      </c>
      <c r="F198" s="124"/>
      <c r="G198" s="125"/>
      <c r="H198" s="125"/>
      <c r="I198" s="125"/>
      <c r="J198" s="125"/>
      <c r="K198" s="136"/>
      <c r="L198" s="125"/>
      <c r="M198" s="125" t="str">
        <f>IFERROR(_xlfn.XLOOKUP($A198,Input_Raw!$A:$A,Input_Raw!CG:CG),"")</f>
        <v/>
      </c>
      <c r="N198" s="125" t="str">
        <f>IFERROR(_xlfn.XLOOKUP($A198,Input_Raw!$A:$A,Input_Raw!CH:CH),"")</f>
        <v/>
      </c>
      <c r="O198" s="137" t="str">
        <f t="shared" si="17"/>
        <v/>
      </c>
      <c r="P198" s="137" t="str">
        <f>IFERROR(1-SUMIF(WTG_BD!$F:$F,$A198,WTG_BD!$AA:$AA)/($AA198+SUMIF(WTG_BD!$F:$F,$A198,WTG_BD!$AA:$AA)),"")</f>
        <v/>
      </c>
      <c r="Q198" s="138" t="str">
        <f>IFERROR(1-SUMIF(IGA_BD!$F:$F,$A198,IGA_BD!$V:$V)/($AA198+SUMIF(IGA_BD!$F:$F,$A198,IGA_BD!$V:$V)),"")</f>
        <v/>
      </c>
      <c r="R198" s="143" t="str">
        <f>IFERROR(1-SUMIF(Grid_BD!$F:$F,$A198,Grid_BD!$X:$X)/($AA198+SUMIF(Grid_BD!$F:$F,$A198,Grid_BD!$X:$X)),"")</f>
        <v/>
      </c>
      <c r="S198" s="121"/>
      <c r="T198" s="138"/>
      <c r="U198" s="139"/>
      <c r="V198" s="121"/>
      <c r="W198" s="140" t="str">
        <f>IFERROR(Table13[[#This Row],[Mtr_Net_Exp (KWh)]]/(24*AR198*1000),"")</f>
        <v/>
      </c>
      <c r="X198" s="121" t="str">
        <f>IFERROR(_xlfn.XLOOKUP($A198,Input_Raw!$A:$A,Input_Raw!$CF:$CF),"")</f>
        <v/>
      </c>
      <c r="Y198" s="121" t="str">
        <f>IFERROR(_xlfn.XLOOKUP($A198,Input_Raw!$A:$A,Input_Raw!$CZ:$CZ),"")</f>
        <v/>
      </c>
      <c r="Z198" s="121" t="str">
        <f>IFERROR(_xlfn.XLOOKUP($A198,Input_Raw!$A:$A,Input_Raw!$DA:$DA),"")</f>
        <v/>
      </c>
      <c r="AA198" s="123" t="str">
        <f t="shared" si="18"/>
        <v/>
      </c>
      <c r="AB198" s="121" t="str">
        <f>IFERROR(_xlfn.XLOOKUP($A198,Input_Raw!$A:$A,Input_Raw!$DG:$DG),"")</f>
        <v/>
      </c>
      <c r="AC198" s="141">
        <f>IFERROR(_xlfn.XLOOKUP($D198,'Modelling New'!$D:$D,'Modelling New'!$J:$J),"")</f>
        <v>3.9666666666666668</v>
      </c>
      <c r="AD198" s="123">
        <f>IFERROR(_xlfn.XLOOKUP($D198,'Modelling New'!$D:$D,'Modelling New'!$T:$T)*1000,"")</f>
        <v>164597.86033847061</v>
      </c>
      <c r="AE198" s="140"/>
      <c r="AF198" s="140">
        <f>IFERROR(_xlfn.XLOOKUP($D198,'Modelling New'!$D:$D,'Modelling New'!$W:$W),"")</f>
        <v>8.792620744576421E-2</v>
      </c>
      <c r="AG198" s="140">
        <f>IFERROR(_xlfn.XLOOKUP($D198,'Modelling New'!$D:$D,'Modelling New'!$AE:$AE),"")</f>
        <v>0.96029999999999993</v>
      </c>
      <c r="AH198" s="140">
        <f>IFERROR(_xlfn.XLOOKUP($D198,'Modelling New'!$D:$D,'Modelling New'!$AF:$AF),"")</f>
        <v>0.995</v>
      </c>
      <c r="AI198" s="121" t="str">
        <f>IFERROR(_xlfn.XLOOKUP($A198,Input_Raw!$A:$A,Input_Raw!$DE:$DE),"")</f>
        <v/>
      </c>
      <c r="AJ198" s="121"/>
      <c r="AK198" s="121"/>
      <c r="AL198" s="121"/>
      <c r="AM198" s="121"/>
      <c r="AN198" s="142" t="str">
        <f>IFERROR(_xlfn.XLOOKUP($A198,Input_Raw!$A:$A,Input_Raw!$DB:$DB),"")</f>
        <v/>
      </c>
      <c r="AO198" s="140" t="str">
        <f>IFERROR((_xlfn.XLOOKUP($A198,'WTG Reactive Power'!$A:$A,'WTG Reactive Power'!$AR:$AR))/X198/1000,"")</f>
        <v/>
      </c>
      <c r="AP198" s="140">
        <f>IFERROR(_xlfn.XLOOKUP($D198,'Modelling New'!$D:$D,'Modelling New'!$AK:$AK),"")</f>
        <v>0.05</v>
      </c>
      <c r="AQ198" s="140">
        <f>IFERROR(_xlfn.XLOOKUP($D198,'Modelling New'!$D:$D,'Modelling New'!$AL:$AL),"")</f>
        <v>0.05</v>
      </c>
      <c r="AR198">
        <f>IFERROR(_xlfn.XLOOKUP($D198,'Modelling New'!$D:$D,'Modelling New'!$N:$N),"")</f>
        <v>78</v>
      </c>
    </row>
    <row r="199" spans="1:44">
      <c r="A199" s="134">
        <f t="shared" si="15"/>
        <v>45942</v>
      </c>
      <c r="B199" s="123">
        <f>YEAR(Table13[[#This Row],[Date]])+IF(MONTH(Table13[[#This Row],[Date]])&gt;=4,1,0)</f>
        <v>2026</v>
      </c>
      <c r="C199" s="121">
        <f>YEAR(Table13[[#This Row],[Date]])</f>
        <v>2025</v>
      </c>
      <c r="D199" s="135">
        <f>Table13[[#This Row],[Date]]-DAY(Table13[[#This Row],[Date]])+1</f>
        <v>45931</v>
      </c>
      <c r="E199" s="121">
        <f t="shared" si="16"/>
        <v>31</v>
      </c>
      <c r="F199" s="124"/>
      <c r="G199" s="125"/>
      <c r="H199" s="125"/>
      <c r="I199" s="125"/>
      <c r="J199" s="125"/>
      <c r="K199" s="136"/>
      <c r="L199" s="125"/>
      <c r="M199" s="125" t="str">
        <f>IFERROR(_xlfn.XLOOKUP($A199,Input_Raw!$A:$A,Input_Raw!CG:CG),"")</f>
        <v/>
      </c>
      <c r="N199" s="125" t="str">
        <f>IFERROR(_xlfn.XLOOKUP($A199,Input_Raw!$A:$A,Input_Raw!CH:CH),"")</f>
        <v/>
      </c>
      <c r="O199" s="137" t="str">
        <f t="shared" si="17"/>
        <v/>
      </c>
      <c r="P199" s="137" t="str">
        <f>IFERROR(1-SUMIF(WTG_BD!$F:$F,$A199,WTG_BD!$AA:$AA)/($AA199+SUMIF(WTG_BD!$F:$F,$A199,WTG_BD!$AA:$AA)),"")</f>
        <v/>
      </c>
      <c r="Q199" s="138" t="str">
        <f>IFERROR(1-SUMIF(IGA_BD!$F:$F,$A199,IGA_BD!$V:$V)/($AA199+SUMIF(IGA_BD!$F:$F,$A199,IGA_BD!$V:$V)),"")</f>
        <v/>
      </c>
      <c r="R199" s="143" t="str">
        <f>IFERROR(1-SUMIF(Grid_BD!$F:$F,$A199,Grid_BD!$X:$X)/($AA199+SUMIF(Grid_BD!$F:$F,$A199,Grid_BD!$X:$X)),"")</f>
        <v/>
      </c>
      <c r="S199" s="121"/>
      <c r="T199" s="138"/>
      <c r="U199" s="139"/>
      <c r="V199" s="121"/>
      <c r="W199" s="140" t="str">
        <f>IFERROR(Table13[[#This Row],[Mtr_Net_Exp (KWh)]]/(24*AR199*1000),"")</f>
        <v/>
      </c>
      <c r="X199" s="121" t="str">
        <f>IFERROR(_xlfn.XLOOKUP($A199,Input_Raw!$A:$A,Input_Raw!$CF:$CF),"")</f>
        <v/>
      </c>
      <c r="Y199" s="121" t="str">
        <f>IFERROR(_xlfn.XLOOKUP($A199,Input_Raw!$A:$A,Input_Raw!$CZ:$CZ),"")</f>
        <v/>
      </c>
      <c r="Z199" s="121" t="str">
        <f>IFERROR(_xlfn.XLOOKUP($A199,Input_Raw!$A:$A,Input_Raw!$DA:$DA),"")</f>
        <v/>
      </c>
      <c r="AA199" s="123" t="str">
        <f t="shared" si="18"/>
        <v/>
      </c>
      <c r="AB199" s="121" t="str">
        <f>IFERROR(_xlfn.XLOOKUP($A199,Input_Raw!$A:$A,Input_Raw!$DG:$DG),"")</f>
        <v/>
      </c>
      <c r="AC199" s="141">
        <f>IFERROR(_xlfn.XLOOKUP($D199,'Modelling New'!$D:$D,'Modelling New'!$J:$J),"")</f>
        <v>3.9666666666666668</v>
      </c>
      <c r="AD199" s="123">
        <f>IFERROR(_xlfn.XLOOKUP($D199,'Modelling New'!$D:$D,'Modelling New'!$T:$T)*1000,"")</f>
        <v>164597.86033847061</v>
      </c>
      <c r="AE199" s="140"/>
      <c r="AF199" s="140">
        <f>IFERROR(_xlfn.XLOOKUP($D199,'Modelling New'!$D:$D,'Modelling New'!$W:$W),"")</f>
        <v>8.792620744576421E-2</v>
      </c>
      <c r="AG199" s="140">
        <f>IFERROR(_xlfn.XLOOKUP($D199,'Modelling New'!$D:$D,'Modelling New'!$AE:$AE),"")</f>
        <v>0.96029999999999993</v>
      </c>
      <c r="AH199" s="140">
        <f>IFERROR(_xlfn.XLOOKUP($D199,'Modelling New'!$D:$D,'Modelling New'!$AF:$AF),"")</f>
        <v>0.995</v>
      </c>
      <c r="AI199" s="121" t="str">
        <f>IFERROR(_xlfn.XLOOKUP($A199,Input_Raw!$A:$A,Input_Raw!$DE:$DE),"")</f>
        <v/>
      </c>
      <c r="AJ199" s="121"/>
      <c r="AK199" s="121"/>
      <c r="AL199" s="121"/>
      <c r="AM199" s="121"/>
      <c r="AN199" s="142" t="str">
        <f>IFERROR(_xlfn.XLOOKUP($A199,Input_Raw!$A:$A,Input_Raw!$DB:$DB),"")</f>
        <v/>
      </c>
      <c r="AO199" s="140" t="str">
        <f>IFERROR((_xlfn.XLOOKUP($A199,'WTG Reactive Power'!$A:$A,'WTG Reactive Power'!$AR:$AR))/X199/1000,"")</f>
        <v/>
      </c>
      <c r="AP199" s="140">
        <f>IFERROR(_xlfn.XLOOKUP($D199,'Modelling New'!$D:$D,'Modelling New'!$AK:$AK),"")</f>
        <v>0.05</v>
      </c>
      <c r="AQ199" s="140">
        <f>IFERROR(_xlfn.XLOOKUP($D199,'Modelling New'!$D:$D,'Modelling New'!$AL:$AL),"")</f>
        <v>0.05</v>
      </c>
      <c r="AR199">
        <f>IFERROR(_xlfn.XLOOKUP($D199,'Modelling New'!$D:$D,'Modelling New'!$N:$N),"")</f>
        <v>78</v>
      </c>
    </row>
    <row r="200" spans="1:44">
      <c r="A200" s="134">
        <f t="shared" si="15"/>
        <v>45943</v>
      </c>
      <c r="B200" s="123">
        <f>YEAR(Table13[[#This Row],[Date]])+IF(MONTH(Table13[[#This Row],[Date]])&gt;=4,1,0)</f>
        <v>2026</v>
      </c>
      <c r="C200" s="121">
        <f>YEAR(Table13[[#This Row],[Date]])</f>
        <v>2025</v>
      </c>
      <c r="D200" s="135">
        <f>Table13[[#This Row],[Date]]-DAY(Table13[[#This Row],[Date]])+1</f>
        <v>45931</v>
      </c>
      <c r="E200" s="121">
        <f t="shared" si="16"/>
        <v>31</v>
      </c>
      <c r="F200" s="124"/>
      <c r="G200" s="125"/>
      <c r="H200" s="125"/>
      <c r="I200" s="125"/>
      <c r="J200" s="125"/>
      <c r="K200" s="136"/>
      <c r="L200" s="125"/>
      <c r="M200" s="125" t="str">
        <f>IFERROR(_xlfn.XLOOKUP($A200,Input_Raw!$A:$A,Input_Raw!CG:CG),"")</f>
        <v/>
      </c>
      <c r="N200" s="125" t="str">
        <f>IFERROR(_xlfn.XLOOKUP($A200,Input_Raw!$A:$A,Input_Raw!CH:CH),"")</f>
        <v/>
      </c>
      <c r="O200" s="137" t="str">
        <f t="shared" si="17"/>
        <v/>
      </c>
      <c r="P200" s="137" t="str">
        <f>IFERROR(1-SUMIF(WTG_BD!$F:$F,$A200,WTG_BD!$AA:$AA)/($AA200+SUMIF(WTG_BD!$F:$F,$A200,WTG_BD!$AA:$AA)),"")</f>
        <v/>
      </c>
      <c r="Q200" s="138" t="str">
        <f>IFERROR(1-SUMIF(IGA_BD!$F:$F,$A200,IGA_BD!$V:$V)/($AA200+SUMIF(IGA_BD!$F:$F,$A200,IGA_BD!$V:$V)),"")</f>
        <v/>
      </c>
      <c r="R200" s="143" t="str">
        <f>IFERROR(1-SUMIF(Grid_BD!$F:$F,$A200,Grid_BD!$X:$X)/($AA200+SUMIF(Grid_BD!$F:$F,$A200,Grid_BD!$X:$X)),"")</f>
        <v/>
      </c>
      <c r="S200" s="121"/>
      <c r="T200" s="138"/>
      <c r="U200" s="139"/>
      <c r="V200" s="121"/>
      <c r="W200" s="140" t="str">
        <f>IFERROR(Table13[[#This Row],[Mtr_Net_Exp (KWh)]]/(24*AR200*1000),"")</f>
        <v/>
      </c>
      <c r="X200" s="121" t="str">
        <f>IFERROR(_xlfn.XLOOKUP($A200,Input_Raw!$A:$A,Input_Raw!$CF:$CF),"")</f>
        <v/>
      </c>
      <c r="Y200" s="121" t="str">
        <f>IFERROR(_xlfn.XLOOKUP($A200,Input_Raw!$A:$A,Input_Raw!$CZ:$CZ),"")</f>
        <v/>
      </c>
      <c r="Z200" s="121" t="str">
        <f>IFERROR(_xlfn.XLOOKUP($A200,Input_Raw!$A:$A,Input_Raw!$DA:$DA),"")</f>
        <v/>
      </c>
      <c r="AA200" s="123" t="str">
        <f t="shared" si="18"/>
        <v/>
      </c>
      <c r="AB200" s="121" t="str">
        <f>IFERROR(_xlfn.XLOOKUP($A200,Input_Raw!$A:$A,Input_Raw!$DG:$DG),"")</f>
        <v/>
      </c>
      <c r="AC200" s="141">
        <f>IFERROR(_xlfn.XLOOKUP($D200,'Modelling New'!$D:$D,'Modelling New'!$J:$J),"")</f>
        <v>3.9666666666666668</v>
      </c>
      <c r="AD200" s="123">
        <f>IFERROR(_xlfn.XLOOKUP($D200,'Modelling New'!$D:$D,'Modelling New'!$T:$T)*1000,"")</f>
        <v>164597.86033847061</v>
      </c>
      <c r="AE200" s="140"/>
      <c r="AF200" s="140">
        <f>IFERROR(_xlfn.XLOOKUP($D200,'Modelling New'!$D:$D,'Modelling New'!$W:$W),"")</f>
        <v>8.792620744576421E-2</v>
      </c>
      <c r="AG200" s="140">
        <f>IFERROR(_xlfn.XLOOKUP($D200,'Modelling New'!$D:$D,'Modelling New'!$AE:$AE),"")</f>
        <v>0.96029999999999993</v>
      </c>
      <c r="AH200" s="140">
        <f>IFERROR(_xlfn.XLOOKUP($D200,'Modelling New'!$D:$D,'Modelling New'!$AF:$AF),"")</f>
        <v>0.995</v>
      </c>
      <c r="AI200" s="121" t="str">
        <f>IFERROR(_xlfn.XLOOKUP($A200,Input_Raw!$A:$A,Input_Raw!$DE:$DE),"")</f>
        <v/>
      </c>
      <c r="AJ200" s="121"/>
      <c r="AK200" s="121"/>
      <c r="AL200" s="121"/>
      <c r="AM200" s="121"/>
      <c r="AN200" s="142" t="str">
        <f>IFERROR(_xlfn.XLOOKUP($A200,Input_Raw!$A:$A,Input_Raw!$DB:$DB),"")</f>
        <v/>
      </c>
      <c r="AO200" s="140" t="str">
        <f>IFERROR((_xlfn.XLOOKUP($A200,'WTG Reactive Power'!$A:$A,'WTG Reactive Power'!$AR:$AR))/X200/1000,"")</f>
        <v/>
      </c>
      <c r="AP200" s="140">
        <f>IFERROR(_xlfn.XLOOKUP($D200,'Modelling New'!$D:$D,'Modelling New'!$AK:$AK),"")</f>
        <v>0.05</v>
      </c>
      <c r="AQ200" s="140">
        <f>IFERROR(_xlfn.XLOOKUP($D200,'Modelling New'!$D:$D,'Modelling New'!$AL:$AL),"")</f>
        <v>0.05</v>
      </c>
      <c r="AR200">
        <f>IFERROR(_xlfn.XLOOKUP($D200,'Modelling New'!$D:$D,'Modelling New'!$N:$N),"")</f>
        <v>78</v>
      </c>
    </row>
    <row r="201" spans="1:44">
      <c r="A201" s="134">
        <f t="shared" si="15"/>
        <v>45944</v>
      </c>
      <c r="B201" s="123">
        <f>YEAR(Table13[[#This Row],[Date]])+IF(MONTH(Table13[[#This Row],[Date]])&gt;=4,1,0)</f>
        <v>2026</v>
      </c>
      <c r="C201" s="121">
        <f>YEAR(Table13[[#This Row],[Date]])</f>
        <v>2025</v>
      </c>
      <c r="D201" s="135">
        <f>Table13[[#This Row],[Date]]-DAY(Table13[[#This Row],[Date]])+1</f>
        <v>45931</v>
      </c>
      <c r="E201" s="121">
        <f t="shared" si="16"/>
        <v>31</v>
      </c>
      <c r="F201" s="124"/>
      <c r="G201" s="125"/>
      <c r="H201" s="125"/>
      <c r="I201" s="125"/>
      <c r="J201" s="125"/>
      <c r="K201" s="136"/>
      <c r="L201" s="125"/>
      <c r="M201" s="125" t="str">
        <f>IFERROR(_xlfn.XLOOKUP($A201,Input_Raw!$A:$A,Input_Raw!CG:CG),"")</f>
        <v/>
      </c>
      <c r="N201" s="125" t="str">
        <f>IFERROR(_xlfn.XLOOKUP($A201,Input_Raw!$A:$A,Input_Raw!CH:CH),"")</f>
        <v/>
      </c>
      <c r="O201" s="137" t="str">
        <f t="shared" si="17"/>
        <v/>
      </c>
      <c r="P201" s="137" t="str">
        <f>IFERROR(1-SUMIF(WTG_BD!$F:$F,$A201,WTG_BD!$AA:$AA)/($AA201+SUMIF(WTG_BD!$F:$F,$A201,WTG_BD!$AA:$AA)),"")</f>
        <v/>
      </c>
      <c r="Q201" s="138" t="str">
        <f>IFERROR(1-SUMIF(IGA_BD!$F:$F,$A201,IGA_BD!$V:$V)/($AA201+SUMIF(IGA_BD!$F:$F,$A201,IGA_BD!$V:$V)),"")</f>
        <v/>
      </c>
      <c r="R201" s="143" t="str">
        <f>IFERROR(1-SUMIF(Grid_BD!$F:$F,$A201,Grid_BD!$X:$X)/($AA201+SUMIF(Grid_BD!$F:$F,$A201,Grid_BD!$X:$X)),"")</f>
        <v/>
      </c>
      <c r="S201" s="121"/>
      <c r="T201" s="138"/>
      <c r="U201" s="139"/>
      <c r="V201" s="121"/>
      <c r="W201" s="140" t="str">
        <f>IFERROR(Table13[[#This Row],[Mtr_Net_Exp (KWh)]]/(24*AR201*1000),"")</f>
        <v/>
      </c>
      <c r="X201" s="121" t="str">
        <f>IFERROR(_xlfn.XLOOKUP($A201,Input_Raw!$A:$A,Input_Raw!$CF:$CF),"")</f>
        <v/>
      </c>
      <c r="Y201" s="121" t="str">
        <f>IFERROR(_xlfn.XLOOKUP($A201,Input_Raw!$A:$A,Input_Raw!$CZ:$CZ),"")</f>
        <v/>
      </c>
      <c r="Z201" s="121" t="str">
        <f>IFERROR(_xlfn.XLOOKUP($A201,Input_Raw!$A:$A,Input_Raw!$DA:$DA),"")</f>
        <v/>
      </c>
      <c r="AA201" s="123" t="str">
        <f t="shared" si="18"/>
        <v/>
      </c>
      <c r="AB201" s="121" t="str">
        <f>IFERROR(_xlfn.XLOOKUP($A201,Input_Raw!$A:$A,Input_Raw!$DG:$DG),"")</f>
        <v/>
      </c>
      <c r="AC201" s="141">
        <f>IFERROR(_xlfn.XLOOKUP($D201,'Modelling New'!$D:$D,'Modelling New'!$J:$J),"")</f>
        <v>3.9666666666666668</v>
      </c>
      <c r="AD201" s="123">
        <f>IFERROR(_xlfn.XLOOKUP($D201,'Modelling New'!$D:$D,'Modelling New'!$T:$T)*1000,"")</f>
        <v>164597.86033847061</v>
      </c>
      <c r="AE201" s="140"/>
      <c r="AF201" s="140">
        <f>IFERROR(_xlfn.XLOOKUP($D201,'Modelling New'!$D:$D,'Modelling New'!$W:$W),"")</f>
        <v>8.792620744576421E-2</v>
      </c>
      <c r="AG201" s="140">
        <f>IFERROR(_xlfn.XLOOKUP($D201,'Modelling New'!$D:$D,'Modelling New'!$AE:$AE),"")</f>
        <v>0.96029999999999993</v>
      </c>
      <c r="AH201" s="140">
        <f>IFERROR(_xlfn.XLOOKUP($D201,'Modelling New'!$D:$D,'Modelling New'!$AF:$AF),"")</f>
        <v>0.995</v>
      </c>
      <c r="AI201" s="121" t="str">
        <f>IFERROR(_xlfn.XLOOKUP($A201,Input_Raw!$A:$A,Input_Raw!$DE:$DE),"")</f>
        <v/>
      </c>
      <c r="AJ201" s="121"/>
      <c r="AK201" s="121"/>
      <c r="AL201" s="121"/>
      <c r="AM201" s="121"/>
      <c r="AN201" s="142" t="str">
        <f>IFERROR(_xlfn.XLOOKUP($A201,Input_Raw!$A:$A,Input_Raw!$DB:$DB),"")</f>
        <v/>
      </c>
      <c r="AO201" s="140" t="str">
        <f>IFERROR((_xlfn.XLOOKUP($A201,'WTG Reactive Power'!$A:$A,'WTG Reactive Power'!$AR:$AR))/X201/1000,"")</f>
        <v/>
      </c>
      <c r="AP201" s="140">
        <f>IFERROR(_xlfn.XLOOKUP($D201,'Modelling New'!$D:$D,'Modelling New'!$AK:$AK),"")</f>
        <v>0.05</v>
      </c>
      <c r="AQ201" s="140">
        <f>IFERROR(_xlfn.XLOOKUP($D201,'Modelling New'!$D:$D,'Modelling New'!$AL:$AL),"")</f>
        <v>0.05</v>
      </c>
      <c r="AR201">
        <f>IFERROR(_xlfn.XLOOKUP($D201,'Modelling New'!$D:$D,'Modelling New'!$N:$N),"")</f>
        <v>78</v>
      </c>
    </row>
    <row r="202" spans="1:44">
      <c r="A202" s="134">
        <f t="shared" si="15"/>
        <v>45945</v>
      </c>
      <c r="B202" s="123">
        <f>YEAR(Table13[[#This Row],[Date]])+IF(MONTH(Table13[[#This Row],[Date]])&gt;=4,1,0)</f>
        <v>2026</v>
      </c>
      <c r="C202" s="121">
        <f>YEAR(Table13[[#This Row],[Date]])</f>
        <v>2025</v>
      </c>
      <c r="D202" s="135">
        <f>Table13[[#This Row],[Date]]-DAY(Table13[[#This Row],[Date]])+1</f>
        <v>45931</v>
      </c>
      <c r="E202" s="121">
        <f t="shared" si="16"/>
        <v>31</v>
      </c>
      <c r="F202" s="124"/>
      <c r="G202" s="125"/>
      <c r="H202" s="125"/>
      <c r="I202" s="125"/>
      <c r="J202" s="125"/>
      <c r="K202" s="136"/>
      <c r="L202" s="125"/>
      <c r="M202" s="125" t="str">
        <f>IFERROR(_xlfn.XLOOKUP($A202,Input_Raw!$A:$A,Input_Raw!CG:CG),"")</f>
        <v/>
      </c>
      <c r="N202" s="125" t="str">
        <f>IFERROR(_xlfn.XLOOKUP($A202,Input_Raw!$A:$A,Input_Raw!CH:CH),"")</f>
        <v/>
      </c>
      <c r="O202" s="137" t="str">
        <f t="shared" si="17"/>
        <v/>
      </c>
      <c r="P202" s="137" t="str">
        <f>IFERROR(1-SUMIF(WTG_BD!$F:$F,$A202,WTG_BD!$AA:$AA)/($AA202+SUMIF(WTG_BD!$F:$F,$A202,WTG_BD!$AA:$AA)),"")</f>
        <v/>
      </c>
      <c r="Q202" s="138" t="str">
        <f>IFERROR(1-SUMIF(IGA_BD!$F:$F,$A202,IGA_BD!$V:$V)/($AA202+SUMIF(IGA_BD!$F:$F,$A202,IGA_BD!$V:$V)),"")</f>
        <v/>
      </c>
      <c r="R202" s="143" t="str">
        <f>IFERROR(1-SUMIF(Grid_BD!$F:$F,$A202,Grid_BD!$X:$X)/($AA202+SUMIF(Grid_BD!$F:$F,$A202,Grid_BD!$X:$X)),"")</f>
        <v/>
      </c>
      <c r="S202" s="121"/>
      <c r="T202" s="138"/>
      <c r="U202" s="139"/>
      <c r="V202" s="121"/>
      <c r="W202" s="140" t="str">
        <f>IFERROR(Table13[[#This Row],[Mtr_Net_Exp (KWh)]]/(24*AR202*1000),"")</f>
        <v/>
      </c>
      <c r="X202" s="121" t="str">
        <f>IFERROR(_xlfn.XLOOKUP($A202,Input_Raw!$A:$A,Input_Raw!$CF:$CF),"")</f>
        <v/>
      </c>
      <c r="Y202" s="121" t="str">
        <f>IFERROR(_xlfn.XLOOKUP($A202,Input_Raw!$A:$A,Input_Raw!$CZ:$CZ),"")</f>
        <v/>
      </c>
      <c r="Z202" s="121" t="str">
        <f>IFERROR(_xlfn.XLOOKUP($A202,Input_Raw!$A:$A,Input_Raw!$DA:$DA),"")</f>
        <v/>
      </c>
      <c r="AA202" s="123" t="str">
        <f t="shared" si="18"/>
        <v/>
      </c>
      <c r="AB202" s="121" t="str">
        <f>IFERROR(_xlfn.XLOOKUP($A202,Input_Raw!$A:$A,Input_Raw!$DG:$DG),"")</f>
        <v/>
      </c>
      <c r="AC202" s="141">
        <f>IFERROR(_xlfn.XLOOKUP($D202,'Modelling New'!$D:$D,'Modelling New'!$J:$J),"")</f>
        <v>3.9666666666666668</v>
      </c>
      <c r="AD202" s="123">
        <f>IFERROR(_xlfn.XLOOKUP($D202,'Modelling New'!$D:$D,'Modelling New'!$T:$T)*1000,"")</f>
        <v>164597.86033847061</v>
      </c>
      <c r="AE202" s="140"/>
      <c r="AF202" s="140">
        <f>IFERROR(_xlfn.XLOOKUP($D202,'Modelling New'!$D:$D,'Modelling New'!$W:$W),"")</f>
        <v>8.792620744576421E-2</v>
      </c>
      <c r="AG202" s="140">
        <f>IFERROR(_xlfn.XLOOKUP($D202,'Modelling New'!$D:$D,'Modelling New'!$AE:$AE),"")</f>
        <v>0.96029999999999993</v>
      </c>
      <c r="AH202" s="140">
        <f>IFERROR(_xlfn.XLOOKUP($D202,'Modelling New'!$D:$D,'Modelling New'!$AF:$AF),"")</f>
        <v>0.995</v>
      </c>
      <c r="AI202" s="121" t="str">
        <f>IFERROR(_xlfn.XLOOKUP($A202,Input_Raw!$A:$A,Input_Raw!$DE:$DE),"")</f>
        <v/>
      </c>
      <c r="AJ202" s="121"/>
      <c r="AK202" s="121"/>
      <c r="AL202" s="121"/>
      <c r="AM202" s="121"/>
      <c r="AN202" s="142" t="str">
        <f>IFERROR(_xlfn.XLOOKUP($A202,Input_Raw!$A:$A,Input_Raw!$DB:$DB),"")</f>
        <v/>
      </c>
      <c r="AO202" s="140" t="str">
        <f>IFERROR((_xlfn.XLOOKUP($A202,'WTG Reactive Power'!$A:$A,'WTG Reactive Power'!$AR:$AR))/X202/1000,"")</f>
        <v/>
      </c>
      <c r="AP202" s="140">
        <f>IFERROR(_xlfn.XLOOKUP($D202,'Modelling New'!$D:$D,'Modelling New'!$AK:$AK),"")</f>
        <v>0.05</v>
      </c>
      <c r="AQ202" s="140">
        <f>IFERROR(_xlfn.XLOOKUP($D202,'Modelling New'!$D:$D,'Modelling New'!$AL:$AL),"")</f>
        <v>0.05</v>
      </c>
      <c r="AR202">
        <f>IFERROR(_xlfn.XLOOKUP($D202,'Modelling New'!$D:$D,'Modelling New'!$N:$N),"")</f>
        <v>78</v>
      </c>
    </row>
    <row r="203" spans="1:44">
      <c r="A203" s="134">
        <f t="shared" si="15"/>
        <v>45946</v>
      </c>
      <c r="B203" s="123">
        <f>YEAR(Table13[[#This Row],[Date]])+IF(MONTH(Table13[[#This Row],[Date]])&gt;=4,1,0)</f>
        <v>2026</v>
      </c>
      <c r="C203" s="121">
        <f>YEAR(Table13[[#This Row],[Date]])</f>
        <v>2025</v>
      </c>
      <c r="D203" s="135">
        <f>Table13[[#This Row],[Date]]-DAY(Table13[[#This Row],[Date]])+1</f>
        <v>45931</v>
      </c>
      <c r="E203" s="121">
        <f t="shared" si="16"/>
        <v>31</v>
      </c>
      <c r="F203" s="124"/>
      <c r="G203" s="125"/>
      <c r="H203" s="125"/>
      <c r="I203" s="125"/>
      <c r="J203" s="125"/>
      <c r="K203" s="136"/>
      <c r="L203" s="125"/>
      <c r="M203" s="125" t="str">
        <f>IFERROR(_xlfn.XLOOKUP($A203,Input_Raw!$A:$A,Input_Raw!CG:CG),"")</f>
        <v/>
      </c>
      <c r="N203" s="125" t="str">
        <f>IFERROR(_xlfn.XLOOKUP($A203,Input_Raw!$A:$A,Input_Raw!CH:CH),"")</f>
        <v/>
      </c>
      <c r="O203" s="137" t="str">
        <f t="shared" si="17"/>
        <v/>
      </c>
      <c r="P203" s="137" t="str">
        <f>IFERROR(1-SUMIF(WTG_BD!$F:$F,$A203,WTG_BD!$AA:$AA)/($AA203+SUMIF(WTG_BD!$F:$F,$A203,WTG_BD!$AA:$AA)),"")</f>
        <v/>
      </c>
      <c r="Q203" s="138" t="str">
        <f>IFERROR(1-SUMIF(IGA_BD!$F:$F,$A203,IGA_BD!$V:$V)/($AA203+SUMIF(IGA_BD!$F:$F,$A203,IGA_BD!$V:$V)),"")</f>
        <v/>
      </c>
      <c r="R203" s="143" t="str">
        <f>IFERROR(1-SUMIF(Grid_BD!$F:$F,$A203,Grid_BD!$X:$X)/($AA203+SUMIF(Grid_BD!$F:$F,$A203,Grid_BD!$X:$X)),"")</f>
        <v/>
      </c>
      <c r="S203" s="121"/>
      <c r="T203" s="138"/>
      <c r="U203" s="139"/>
      <c r="V203" s="121"/>
      <c r="W203" s="140" t="str">
        <f>IFERROR(Table13[[#This Row],[Mtr_Net_Exp (KWh)]]/(24*AR203*1000),"")</f>
        <v/>
      </c>
      <c r="X203" s="121" t="str">
        <f>IFERROR(_xlfn.XLOOKUP($A203,Input_Raw!$A:$A,Input_Raw!$CF:$CF),"")</f>
        <v/>
      </c>
      <c r="Y203" s="121" t="str">
        <f>IFERROR(_xlfn.XLOOKUP($A203,Input_Raw!$A:$A,Input_Raw!$CZ:$CZ),"")</f>
        <v/>
      </c>
      <c r="Z203" s="121" t="str">
        <f>IFERROR(_xlfn.XLOOKUP($A203,Input_Raw!$A:$A,Input_Raw!$DA:$DA),"")</f>
        <v/>
      </c>
      <c r="AA203" s="123" t="str">
        <f t="shared" si="18"/>
        <v/>
      </c>
      <c r="AB203" s="121" t="str">
        <f>IFERROR(_xlfn.XLOOKUP($A203,Input_Raw!$A:$A,Input_Raw!$DG:$DG),"")</f>
        <v/>
      </c>
      <c r="AC203" s="141">
        <f>IFERROR(_xlfn.XLOOKUP($D203,'Modelling New'!$D:$D,'Modelling New'!$J:$J),"")</f>
        <v>3.9666666666666668</v>
      </c>
      <c r="AD203" s="123">
        <f>IFERROR(_xlfn.XLOOKUP($D203,'Modelling New'!$D:$D,'Modelling New'!$T:$T)*1000,"")</f>
        <v>164597.86033847061</v>
      </c>
      <c r="AE203" s="140"/>
      <c r="AF203" s="140">
        <f>IFERROR(_xlfn.XLOOKUP($D203,'Modelling New'!$D:$D,'Modelling New'!$W:$W),"")</f>
        <v>8.792620744576421E-2</v>
      </c>
      <c r="AG203" s="140">
        <f>IFERROR(_xlfn.XLOOKUP($D203,'Modelling New'!$D:$D,'Modelling New'!$AE:$AE),"")</f>
        <v>0.96029999999999993</v>
      </c>
      <c r="AH203" s="140">
        <f>IFERROR(_xlfn.XLOOKUP($D203,'Modelling New'!$D:$D,'Modelling New'!$AF:$AF),"")</f>
        <v>0.995</v>
      </c>
      <c r="AI203" s="121" t="str">
        <f>IFERROR(_xlfn.XLOOKUP($A203,Input_Raw!$A:$A,Input_Raw!$DE:$DE),"")</f>
        <v/>
      </c>
      <c r="AJ203" s="121"/>
      <c r="AK203" s="121"/>
      <c r="AL203" s="121"/>
      <c r="AM203" s="121"/>
      <c r="AN203" s="142" t="str">
        <f>IFERROR(_xlfn.XLOOKUP($A203,Input_Raw!$A:$A,Input_Raw!$DB:$DB),"")</f>
        <v/>
      </c>
      <c r="AO203" s="140" t="str">
        <f>IFERROR((_xlfn.XLOOKUP($A203,'WTG Reactive Power'!$A:$A,'WTG Reactive Power'!$AR:$AR))/X203/1000,"")</f>
        <v/>
      </c>
      <c r="AP203" s="140">
        <f>IFERROR(_xlfn.XLOOKUP($D203,'Modelling New'!$D:$D,'Modelling New'!$AK:$AK),"")</f>
        <v>0.05</v>
      </c>
      <c r="AQ203" s="140">
        <f>IFERROR(_xlfn.XLOOKUP($D203,'Modelling New'!$D:$D,'Modelling New'!$AL:$AL),"")</f>
        <v>0.05</v>
      </c>
      <c r="AR203">
        <f>IFERROR(_xlfn.XLOOKUP($D203,'Modelling New'!$D:$D,'Modelling New'!$N:$N),"")</f>
        <v>78</v>
      </c>
    </row>
    <row r="204" spans="1:44">
      <c r="A204" s="134">
        <f t="shared" si="15"/>
        <v>45947</v>
      </c>
      <c r="B204" s="123">
        <f>YEAR(Table13[[#This Row],[Date]])+IF(MONTH(Table13[[#This Row],[Date]])&gt;=4,1,0)</f>
        <v>2026</v>
      </c>
      <c r="C204" s="121">
        <f>YEAR(Table13[[#This Row],[Date]])</f>
        <v>2025</v>
      </c>
      <c r="D204" s="135">
        <f>Table13[[#This Row],[Date]]-DAY(Table13[[#This Row],[Date]])+1</f>
        <v>45931</v>
      </c>
      <c r="E204" s="121">
        <f t="shared" si="16"/>
        <v>31</v>
      </c>
      <c r="F204" s="124"/>
      <c r="G204" s="125"/>
      <c r="H204" s="125"/>
      <c r="I204" s="125"/>
      <c r="J204" s="125"/>
      <c r="K204" s="136"/>
      <c r="L204" s="125"/>
      <c r="M204" s="125" t="str">
        <f>IFERROR(_xlfn.XLOOKUP($A204,Input_Raw!$A:$A,Input_Raw!CG:CG),"")</f>
        <v/>
      </c>
      <c r="N204" s="125" t="str">
        <f>IFERROR(_xlfn.XLOOKUP($A204,Input_Raw!$A:$A,Input_Raw!CH:CH),"")</f>
        <v/>
      </c>
      <c r="O204" s="137" t="str">
        <f t="shared" si="17"/>
        <v/>
      </c>
      <c r="P204" s="137" t="str">
        <f>IFERROR(1-SUMIF(WTG_BD!$F:$F,$A204,WTG_BD!$AA:$AA)/($AA204+SUMIF(WTG_BD!$F:$F,$A204,WTG_BD!$AA:$AA)),"")</f>
        <v/>
      </c>
      <c r="Q204" s="138" t="str">
        <f>IFERROR(1-SUMIF(IGA_BD!$F:$F,$A204,IGA_BD!$V:$V)/($AA204+SUMIF(IGA_BD!$F:$F,$A204,IGA_BD!$V:$V)),"")</f>
        <v/>
      </c>
      <c r="R204" s="143" t="str">
        <f>IFERROR(1-SUMIF(Grid_BD!$F:$F,$A204,Grid_BD!$X:$X)/($AA204+SUMIF(Grid_BD!$F:$F,$A204,Grid_BD!$X:$X)),"")</f>
        <v/>
      </c>
      <c r="S204" s="121"/>
      <c r="T204" s="138"/>
      <c r="U204" s="139"/>
      <c r="V204" s="121"/>
      <c r="W204" s="140" t="str">
        <f>IFERROR(Table13[[#This Row],[Mtr_Net_Exp (KWh)]]/(24*AR204*1000),"")</f>
        <v/>
      </c>
      <c r="X204" s="121" t="str">
        <f>IFERROR(_xlfn.XLOOKUP($A204,Input_Raw!$A:$A,Input_Raw!$CF:$CF),"")</f>
        <v/>
      </c>
      <c r="Y204" s="121" t="str">
        <f>IFERROR(_xlfn.XLOOKUP($A204,Input_Raw!$A:$A,Input_Raw!$CZ:$CZ),"")</f>
        <v/>
      </c>
      <c r="Z204" s="121" t="str">
        <f>IFERROR(_xlfn.XLOOKUP($A204,Input_Raw!$A:$A,Input_Raw!$DA:$DA),"")</f>
        <v/>
      </c>
      <c r="AA204" s="123" t="str">
        <f t="shared" si="18"/>
        <v/>
      </c>
      <c r="AB204" s="121" t="str">
        <f>IFERROR(_xlfn.XLOOKUP($A204,Input_Raw!$A:$A,Input_Raw!$DG:$DG),"")</f>
        <v/>
      </c>
      <c r="AC204" s="141">
        <f>IFERROR(_xlfn.XLOOKUP($D204,'Modelling New'!$D:$D,'Modelling New'!$J:$J),"")</f>
        <v>3.9666666666666668</v>
      </c>
      <c r="AD204" s="123">
        <f>IFERROR(_xlfn.XLOOKUP($D204,'Modelling New'!$D:$D,'Modelling New'!$T:$T)*1000,"")</f>
        <v>164597.86033847061</v>
      </c>
      <c r="AE204" s="140"/>
      <c r="AF204" s="140">
        <f>IFERROR(_xlfn.XLOOKUP($D204,'Modelling New'!$D:$D,'Modelling New'!$W:$W),"")</f>
        <v>8.792620744576421E-2</v>
      </c>
      <c r="AG204" s="140">
        <f>IFERROR(_xlfn.XLOOKUP($D204,'Modelling New'!$D:$D,'Modelling New'!$AE:$AE),"")</f>
        <v>0.96029999999999993</v>
      </c>
      <c r="AH204" s="140">
        <f>IFERROR(_xlfn.XLOOKUP($D204,'Modelling New'!$D:$D,'Modelling New'!$AF:$AF),"")</f>
        <v>0.995</v>
      </c>
      <c r="AI204" s="121" t="str">
        <f>IFERROR(_xlfn.XLOOKUP($A204,Input_Raw!$A:$A,Input_Raw!$DE:$DE),"")</f>
        <v/>
      </c>
      <c r="AJ204" s="121"/>
      <c r="AK204" s="121"/>
      <c r="AL204" s="121"/>
      <c r="AM204" s="121"/>
      <c r="AN204" s="142" t="str">
        <f>IFERROR(_xlfn.XLOOKUP($A204,Input_Raw!$A:$A,Input_Raw!$DB:$DB),"")</f>
        <v/>
      </c>
      <c r="AO204" s="140" t="str">
        <f>IFERROR((_xlfn.XLOOKUP($A204,'WTG Reactive Power'!$A:$A,'WTG Reactive Power'!$AR:$AR))/X204/1000,"")</f>
        <v/>
      </c>
      <c r="AP204" s="140">
        <f>IFERROR(_xlfn.XLOOKUP($D204,'Modelling New'!$D:$D,'Modelling New'!$AK:$AK),"")</f>
        <v>0.05</v>
      </c>
      <c r="AQ204" s="140">
        <f>IFERROR(_xlfn.XLOOKUP($D204,'Modelling New'!$D:$D,'Modelling New'!$AL:$AL),"")</f>
        <v>0.05</v>
      </c>
      <c r="AR204">
        <f>IFERROR(_xlfn.XLOOKUP($D204,'Modelling New'!$D:$D,'Modelling New'!$N:$N),"")</f>
        <v>78</v>
      </c>
    </row>
    <row r="205" spans="1:44">
      <c r="A205" s="134">
        <f t="shared" si="15"/>
        <v>45948</v>
      </c>
      <c r="B205" s="123">
        <f>YEAR(Table13[[#This Row],[Date]])+IF(MONTH(Table13[[#This Row],[Date]])&gt;=4,1,0)</f>
        <v>2026</v>
      </c>
      <c r="C205" s="121">
        <f>YEAR(Table13[[#This Row],[Date]])</f>
        <v>2025</v>
      </c>
      <c r="D205" s="135">
        <f>Table13[[#This Row],[Date]]-DAY(Table13[[#This Row],[Date]])+1</f>
        <v>45931</v>
      </c>
      <c r="E205" s="121">
        <f t="shared" si="16"/>
        <v>31</v>
      </c>
      <c r="F205" s="124"/>
      <c r="G205" s="125"/>
      <c r="H205" s="125"/>
      <c r="I205" s="125"/>
      <c r="J205" s="125"/>
      <c r="K205" s="136"/>
      <c r="L205" s="125"/>
      <c r="M205" s="125" t="str">
        <f>IFERROR(_xlfn.XLOOKUP($A205,Input_Raw!$A:$A,Input_Raw!CG:CG),"")</f>
        <v/>
      </c>
      <c r="N205" s="125" t="str">
        <f>IFERROR(_xlfn.XLOOKUP($A205,Input_Raw!$A:$A,Input_Raw!CH:CH),"")</f>
        <v/>
      </c>
      <c r="O205" s="137" t="str">
        <f t="shared" si="17"/>
        <v/>
      </c>
      <c r="P205" s="137" t="str">
        <f>IFERROR(1-SUMIF(WTG_BD!$F:$F,$A205,WTG_BD!$AA:$AA)/($AA205+SUMIF(WTG_BD!$F:$F,$A205,WTG_BD!$AA:$AA)),"")</f>
        <v/>
      </c>
      <c r="Q205" s="138" t="str">
        <f>IFERROR(1-SUMIF(IGA_BD!$F:$F,$A205,IGA_BD!$V:$V)/($AA205+SUMIF(IGA_BD!$F:$F,$A205,IGA_BD!$V:$V)),"")</f>
        <v/>
      </c>
      <c r="R205" s="143" t="str">
        <f>IFERROR(1-SUMIF(Grid_BD!$F:$F,$A205,Grid_BD!$X:$X)/($AA205+SUMIF(Grid_BD!$F:$F,$A205,Grid_BD!$X:$X)),"")</f>
        <v/>
      </c>
      <c r="S205" s="121"/>
      <c r="T205" s="138"/>
      <c r="U205" s="139"/>
      <c r="V205" s="121"/>
      <c r="W205" s="140" t="str">
        <f>IFERROR(Table13[[#This Row],[Mtr_Net_Exp (KWh)]]/(24*AR205*1000),"")</f>
        <v/>
      </c>
      <c r="X205" s="121" t="str">
        <f>IFERROR(_xlfn.XLOOKUP($A205,Input_Raw!$A:$A,Input_Raw!$CF:$CF),"")</f>
        <v/>
      </c>
      <c r="Y205" s="121" t="str">
        <f>IFERROR(_xlfn.XLOOKUP($A205,Input_Raw!$A:$A,Input_Raw!$CZ:$CZ),"")</f>
        <v/>
      </c>
      <c r="Z205" s="121" t="str">
        <f>IFERROR(_xlfn.XLOOKUP($A205,Input_Raw!$A:$A,Input_Raw!$DA:$DA),"")</f>
        <v/>
      </c>
      <c r="AA205" s="123" t="str">
        <f t="shared" si="18"/>
        <v/>
      </c>
      <c r="AB205" s="121" t="str">
        <f>IFERROR(_xlfn.XLOOKUP($A205,Input_Raw!$A:$A,Input_Raw!$DG:$DG),"")</f>
        <v/>
      </c>
      <c r="AC205" s="141">
        <f>IFERROR(_xlfn.XLOOKUP($D205,'Modelling New'!$D:$D,'Modelling New'!$J:$J),"")</f>
        <v>3.9666666666666668</v>
      </c>
      <c r="AD205" s="123">
        <f>IFERROR(_xlfn.XLOOKUP($D205,'Modelling New'!$D:$D,'Modelling New'!$T:$T)*1000,"")</f>
        <v>164597.86033847061</v>
      </c>
      <c r="AE205" s="140"/>
      <c r="AF205" s="140">
        <f>IFERROR(_xlfn.XLOOKUP($D205,'Modelling New'!$D:$D,'Modelling New'!$W:$W),"")</f>
        <v>8.792620744576421E-2</v>
      </c>
      <c r="AG205" s="140">
        <f>IFERROR(_xlfn.XLOOKUP($D205,'Modelling New'!$D:$D,'Modelling New'!$AE:$AE),"")</f>
        <v>0.96029999999999993</v>
      </c>
      <c r="AH205" s="140">
        <f>IFERROR(_xlfn.XLOOKUP($D205,'Modelling New'!$D:$D,'Modelling New'!$AF:$AF),"")</f>
        <v>0.995</v>
      </c>
      <c r="AI205" s="121" t="str">
        <f>IFERROR(_xlfn.XLOOKUP($A205,Input_Raw!$A:$A,Input_Raw!$DE:$DE),"")</f>
        <v/>
      </c>
      <c r="AJ205" s="121"/>
      <c r="AK205" s="121"/>
      <c r="AL205" s="121"/>
      <c r="AM205" s="121"/>
      <c r="AN205" s="142" t="str">
        <f>IFERROR(_xlfn.XLOOKUP($A205,Input_Raw!$A:$A,Input_Raw!$DB:$DB),"")</f>
        <v/>
      </c>
      <c r="AO205" s="140" t="str">
        <f>IFERROR((_xlfn.XLOOKUP($A205,'WTG Reactive Power'!$A:$A,'WTG Reactive Power'!$AR:$AR))/X205/1000,"")</f>
        <v/>
      </c>
      <c r="AP205" s="140">
        <f>IFERROR(_xlfn.XLOOKUP($D205,'Modelling New'!$D:$D,'Modelling New'!$AK:$AK),"")</f>
        <v>0.05</v>
      </c>
      <c r="AQ205" s="140">
        <f>IFERROR(_xlfn.XLOOKUP($D205,'Modelling New'!$D:$D,'Modelling New'!$AL:$AL),"")</f>
        <v>0.05</v>
      </c>
      <c r="AR205">
        <f>IFERROR(_xlfn.XLOOKUP($D205,'Modelling New'!$D:$D,'Modelling New'!$N:$N),"")</f>
        <v>78</v>
      </c>
    </row>
    <row r="206" spans="1:44">
      <c r="A206" s="134">
        <f t="shared" si="15"/>
        <v>45949</v>
      </c>
      <c r="B206" s="123">
        <f>YEAR(Table13[[#This Row],[Date]])+IF(MONTH(Table13[[#This Row],[Date]])&gt;=4,1,0)</f>
        <v>2026</v>
      </c>
      <c r="C206" s="121">
        <f>YEAR(Table13[[#This Row],[Date]])</f>
        <v>2025</v>
      </c>
      <c r="D206" s="135">
        <f>Table13[[#This Row],[Date]]-DAY(Table13[[#This Row],[Date]])+1</f>
        <v>45931</v>
      </c>
      <c r="E206" s="121">
        <f t="shared" si="16"/>
        <v>31</v>
      </c>
      <c r="F206" s="124"/>
      <c r="G206" s="125"/>
      <c r="H206" s="125"/>
      <c r="I206" s="125"/>
      <c r="J206" s="125"/>
      <c r="K206" s="136"/>
      <c r="L206" s="125"/>
      <c r="M206" s="125" t="str">
        <f>IFERROR(_xlfn.XLOOKUP($A206,Input_Raw!$A:$A,Input_Raw!CG:CG),"")</f>
        <v/>
      </c>
      <c r="N206" s="125" t="str">
        <f>IFERROR(_xlfn.XLOOKUP($A206,Input_Raw!$A:$A,Input_Raw!CH:CH),"")</f>
        <v/>
      </c>
      <c r="O206" s="137" t="str">
        <f t="shared" si="17"/>
        <v/>
      </c>
      <c r="P206" s="137" t="str">
        <f>IFERROR(1-SUMIF(WTG_BD!$F:$F,$A206,WTG_BD!$AA:$AA)/($AA206+SUMIF(WTG_BD!$F:$F,$A206,WTG_BD!$AA:$AA)),"")</f>
        <v/>
      </c>
      <c r="Q206" s="138" t="str">
        <f>IFERROR(1-SUMIF(IGA_BD!$F:$F,$A206,IGA_BD!$V:$V)/($AA206+SUMIF(IGA_BD!$F:$F,$A206,IGA_BD!$V:$V)),"")</f>
        <v/>
      </c>
      <c r="R206" s="143" t="str">
        <f>IFERROR(1-SUMIF(Grid_BD!$F:$F,$A206,Grid_BD!$X:$X)/($AA206+SUMIF(Grid_BD!$F:$F,$A206,Grid_BD!$X:$X)),"")</f>
        <v/>
      </c>
      <c r="S206" s="121"/>
      <c r="T206" s="138"/>
      <c r="U206" s="139"/>
      <c r="V206" s="121"/>
      <c r="W206" s="140" t="str">
        <f>IFERROR(Table13[[#This Row],[Mtr_Net_Exp (KWh)]]/(24*AR206*1000),"")</f>
        <v/>
      </c>
      <c r="X206" s="121" t="str">
        <f>IFERROR(_xlfn.XLOOKUP($A206,Input_Raw!$A:$A,Input_Raw!$CF:$CF),"")</f>
        <v/>
      </c>
      <c r="Y206" s="121" t="str">
        <f>IFERROR(_xlfn.XLOOKUP($A206,Input_Raw!$A:$A,Input_Raw!$CZ:$CZ),"")</f>
        <v/>
      </c>
      <c r="Z206" s="121" t="str">
        <f>IFERROR(_xlfn.XLOOKUP($A206,Input_Raw!$A:$A,Input_Raw!$DA:$DA),"")</f>
        <v/>
      </c>
      <c r="AA206" s="123" t="str">
        <f t="shared" si="18"/>
        <v/>
      </c>
      <c r="AB206" s="121" t="str">
        <f>IFERROR(_xlfn.XLOOKUP($A206,Input_Raw!$A:$A,Input_Raw!$DG:$DG),"")</f>
        <v/>
      </c>
      <c r="AC206" s="141">
        <f>IFERROR(_xlfn.XLOOKUP($D206,'Modelling New'!$D:$D,'Modelling New'!$J:$J),"")</f>
        <v>3.9666666666666668</v>
      </c>
      <c r="AD206" s="123">
        <f>IFERROR(_xlfn.XLOOKUP($D206,'Modelling New'!$D:$D,'Modelling New'!$T:$T)*1000,"")</f>
        <v>164597.86033847061</v>
      </c>
      <c r="AE206" s="140"/>
      <c r="AF206" s="140">
        <f>IFERROR(_xlfn.XLOOKUP($D206,'Modelling New'!$D:$D,'Modelling New'!$W:$W),"")</f>
        <v>8.792620744576421E-2</v>
      </c>
      <c r="AG206" s="140">
        <f>IFERROR(_xlfn.XLOOKUP($D206,'Modelling New'!$D:$D,'Modelling New'!$AE:$AE),"")</f>
        <v>0.96029999999999993</v>
      </c>
      <c r="AH206" s="140">
        <f>IFERROR(_xlfn.XLOOKUP($D206,'Modelling New'!$D:$D,'Modelling New'!$AF:$AF),"")</f>
        <v>0.995</v>
      </c>
      <c r="AI206" s="121" t="str">
        <f>IFERROR(_xlfn.XLOOKUP($A206,Input_Raw!$A:$A,Input_Raw!$DE:$DE),"")</f>
        <v/>
      </c>
      <c r="AJ206" s="121"/>
      <c r="AK206" s="121"/>
      <c r="AL206" s="121"/>
      <c r="AM206" s="121"/>
      <c r="AN206" s="142" t="str">
        <f>IFERROR(_xlfn.XLOOKUP($A206,Input_Raw!$A:$A,Input_Raw!$DB:$DB),"")</f>
        <v/>
      </c>
      <c r="AO206" s="140" t="str">
        <f>IFERROR((_xlfn.XLOOKUP($A206,'WTG Reactive Power'!$A:$A,'WTG Reactive Power'!$AR:$AR))/X206/1000,"")</f>
        <v/>
      </c>
      <c r="AP206" s="140">
        <f>IFERROR(_xlfn.XLOOKUP($D206,'Modelling New'!$D:$D,'Modelling New'!$AK:$AK),"")</f>
        <v>0.05</v>
      </c>
      <c r="AQ206" s="140">
        <f>IFERROR(_xlfn.XLOOKUP($D206,'Modelling New'!$D:$D,'Modelling New'!$AL:$AL),"")</f>
        <v>0.05</v>
      </c>
      <c r="AR206">
        <f>IFERROR(_xlfn.XLOOKUP($D206,'Modelling New'!$D:$D,'Modelling New'!$N:$N),"")</f>
        <v>78</v>
      </c>
    </row>
    <row r="207" spans="1:44">
      <c r="A207" s="134">
        <f t="shared" si="15"/>
        <v>45950</v>
      </c>
      <c r="B207" s="123">
        <f>YEAR(Table13[[#This Row],[Date]])+IF(MONTH(Table13[[#This Row],[Date]])&gt;=4,1,0)</f>
        <v>2026</v>
      </c>
      <c r="C207" s="121">
        <f>YEAR(Table13[[#This Row],[Date]])</f>
        <v>2025</v>
      </c>
      <c r="D207" s="135">
        <f>Table13[[#This Row],[Date]]-DAY(Table13[[#This Row],[Date]])+1</f>
        <v>45931</v>
      </c>
      <c r="E207" s="121">
        <f t="shared" si="16"/>
        <v>31</v>
      </c>
      <c r="F207" s="124"/>
      <c r="G207" s="125"/>
      <c r="H207" s="125"/>
      <c r="I207" s="125"/>
      <c r="J207" s="125"/>
      <c r="K207" s="136"/>
      <c r="L207" s="125"/>
      <c r="M207" s="125" t="str">
        <f>IFERROR(_xlfn.XLOOKUP($A207,Input_Raw!$A:$A,Input_Raw!CG:CG),"")</f>
        <v/>
      </c>
      <c r="N207" s="125" t="str">
        <f>IFERROR(_xlfn.XLOOKUP($A207,Input_Raw!$A:$A,Input_Raw!CH:CH),"")</f>
        <v/>
      </c>
      <c r="O207" s="137" t="str">
        <f t="shared" si="17"/>
        <v/>
      </c>
      <c r="P207" s="137" t="str">
        <f>IFERROR(1-SUMIF(WTG_BD!$F:$F,$A207,WTG_BD!$AA:$AA)/($AA207+SUMIF(WTG_BD!$F:$F,$A207,WTG_BD!$AA:$AA)),"")</f>
        <v/>
      </c>
      <c r="Q207" s="138" t="str">
        <f>IFERROR(1-SUMIF(IGA_BD!$F:$F,$A207,IGA_BD!$V:$V)/($AA207+SUMIF(IGA_BD!$F:$F,$A207,IGA_BD!$V:$V)),"")</f>
        <v/>
      </c>
      <c r="R207" s="143" t="str">
        <f>IFERROR(1-SUMIF(Grid_BD!$F:$F,$A207,Grid_BD!$X:$X)/($AA207+SUMIF(Grid_BD!$F:$F,$A207,Grid_BD!$X:$X)),"")</f>
        <v/>
      </c>
      <c r="S207" s="121"/>
      <c r="T207" s="138"/>
      <c r="U207" s="139"/>
      <c r="V207" s="121"/>
      <c r="W207" s="140" t="str">
        <f>IFERROR(Table13[[#This Row],[Mtr_Net_Exp (KWh)]]/(24*AR207*1000),"")</f>
        <v/>
      </c>
      <c r="X207" s="121" t="str">
        <f>IFERROR(_xlfn.XLOOKUP($A207,Input_Raw!$A:$A,Input_Raw!$CF:$CF),"")</f>
        <v/>
      </c>
      <c r="Y207" s="121" t="str">
        <f>IFERROR(_xlfn.XLOOKUP($A207,Input_Raw!$A:$A,Input_Raw!$CZ:$CZ),"")</f>
        <v/>
      </c>
      <c r="Z207" s="121" t="str">
        <f>IFERROR(_xlfn.XLOOKUP($A207,Input_Raw!$A:$A,Input_Raw!$DA:$DA),"")</f>
        <v/>
      </c>
      <c r="AA207" s="123" t="str">
        <f t="shared" si="18"/>
        <v/>
      </c>
      <c r="AB207" s="121" t="str">
        <f>IFERROR(_xlfn.XLOOKUP($A207,Input_Raw!$A:$A,Input_Raw!$DG:$DG),"")</f>
        <v/>
      </c>
      <c r="AC207" s="141">
        <f>IFERROR(_xlfn.XLOOKUP($D207,'Modelling New'!$D:$D,'Modelling New'!$J:$J),"")</f>
        <v>3.9666666666666668</v>
      </c>
      <c r="AD207" s="123">
        <f>IFERROR(_xlfn.XLOOKUP($D207,'Modelling New'!$D:$D,'Modelling New'!$T:$T)*1000,"")</f>
        <v>164597.86033847061</v>
      </c>
      <c r="AE207" s="140"/>
      <c r="AF207" s="140">
        <f>IFERROR(_xlfn.XLOOKUP($D207,'Modelling New'!$D:$D,'Modelling New'!$W:$W),"")</f>
        <v>8.792620744576421E-2</v>
      </c>
      <c r="AG207" s="140">
        <f>IFERROR(_xlfn.XLOOKUP($D207,'Modelling New'!$D:$D,'Modelling New'!$AE:$AE),"")</f>
        <v>0.96029999999999993</v>
      </c>
      <c r="AH207" s="140">
        <f>IFERROR(_xlfn.XLOOKUP($D207,'Modelling New'!$D:$D,'Modelling New'!$AF:$AF),"")</f>
        <v>0.995</v>
      </c>
      <c r="AI207" s="121" t="str">
        <f>IFERROR(_xlfn.XLOOKUP($A207,Input_Raw!$A:$A,Input_Raw!$DE:$DE),"")</f>
        <v/>
      </c>
      <c r="AJ207" s="121"/>
      <c r="AK207" s="121"/>
      <c r="AL207" s="121"/>
      <c r="AM207" s="121"/>
      <c r="AN207" s="142" t="str">
        <f>IFERROR(_xlfn.XLOOKUP($A207,Input_Raw!$A:$A,Input_Raw!$DB:$DB),"")</f>
        <v/>
      </c>
      <c r="AO207" s="140" t="str">
        <f>IFERROR((_xlfn.XLOOKUP($A207,'WTG Reactive Power'!$A:$A,'WTG Reactive Power'!$AR:$AR))/X207/1000,"")</f>
        <v/>
      </c>
      <c r="AP207" s="140">
        <f>IFERROR(_xlfn.XLOOKUP($D207,'Modelling New'!$D:$D,'Modelling New'!$AK:$AK),"")</f>
        <v>0.05</v>
      </c>
      <c r="AQ207" s="140">
        <f>IFERROR(_xlfn.XLOOKUP($D207,'Modelling New'!$D:$D,'Modelling New'!$AL:$AL),"")</f>
        <v>0.05</v>
      </c>
      <c r="AR207">
        <f>IFERROR(_xlfn.XLOOKUP($D207,'Modelling New'!$D:$D,'Modelling New'!$N:$N),"")</f>
        <v>78</v>
      </c>
    </row>
    <row r="208" spans="1:44">
      <c r="A208" s="134">
        <f t="shared" si="15"/>
        <v>45951</v>
      </c>
      <c r="B208" s="123">
        <f>YEAR(Table13[[#This Row],[Date]])+IF(MONTH(Table13[[#This Row],[Date]])&gt;=4,1,0)</f>
        <v>2026</v>
      </c>
      <c r="C208" s="121">
        <f>YEAR(Table13[[#This Row],[Date]])</f>
        <v>2025</v>
      </c>
      <c r="D208" s="135">
        <f>Table13[[#This Row],[Date]]-DAY(Table13[[#This Row],[Date]])+1</f>
        <v>45931</v>
      </c>
      <c r="E208" s="121">
        <f t="shared" si="16"/>
        <v>31</v>
      </c>
      <c r="F208" s="124"/>
      <c r="G208" s="125"/>
      <c r="H208" s="125"/>
      <c r="I208" s="125"/>
      <c r="J208" s="125"/>
      <c r="K208" s="136"/>
      <c r="L208" s="125"/>
      <c r="M208" s="125" t="str">
        <f>IFERROR(_xlfn.XLOOKUP($A208,Input_Raw!$A:$A,Input_Raw!CG:CG),"")</f>
        <v/>
      </c>
      <c r="N208" s="125" t="str">
        <f>IFERROR(_xlfn.XLOOKUP($A208,Input_Raw!$A:$A,Input_Raw!CH:CH),"")</f>
        <v/>
      </c>
      <c r="O208" s="137" t="str">
        <f t="shared" si="17"/>
        <v/>
      </c>
      <c r="P208" s="137" t="str">
        <f>IFERROR(1-SUMIF(WTG_BD!$F:$F,$A208,WTG_BD!$AA:$AA)/($AA208+SUMIF(WTG_BD!$F:$F,$A208,WTG_BD!$AA:$AA)),"")</f>
        <v/>
      </c>
      <c r="Q208" s="138" t="str">
        <f>IFERROR(1-SUMIF(IGA_BD!$F:$F,$A208,IGA_BD!$V:$V)/($AA208+SUMIF(IGA_BD!$F:$F,$A208,IGA_BD!$V:$V)),"")</f>
        <v/>
      </c>
      <c r="R208" s="143" t="str">
        <f>IFERROR(1-SUMIF(Grid_BD!$F:$F,$A208,Grid_BD!$X:$X)/($AA208+SUMIF(Grid_BD!$F:$F,$A208,Grid_BD!$X:$X)),"")</f>
        <v/>
      </c>
      <c r="S208" s="121"/>
      <c r="T208" s="138"/>
      <c r="U208" s="139"/>
      <c r="V208" s="121"/>
      <c r="W208" s="140" t="str">
        <f>IFERROR(Table13[[#This Row],[Mtr_Net_Exp (KWh)]]/(24*AR208*1000),"")</f>
        <v/>
      </c>
      <c r="X208" s="121" t="str">
        <f>IFERROR(_xlfn.XLOOKUP($A208,Input_Raw!$A:$A,Input_Raw!$CF:$CF),"")</f>
        <v/>
      </c>
      <c r="Y208" s="121" t="str">
        <f>IFERROR(_xlfn.XLOOKUP($A208,Input_Raw!$A:$A,Input_Raw!$CZ:$CZ),"")</f>
        <v/>
      </c>
      <c r="Z208" s="121" t="str">
        <f>IFERROR(_xlfn.XLOOKUP($A208,Input_Raw!$A:$A,Input_Raw!$DA:$DA),"")</f>
        <v/>
      </c>
      <c r="AA208" s="123" t="str">
        <f t="shared" si="18"/>
        <v/>
      </c>
      <c r="AB208" s="121" t="str">
        <f>IFERROR(_xlfn.XLOOKUP($A208,Input_Raw!$A:$A,Input_Raw!$DG:$DG),"")</f>
        <v/>
      </c>
      <c r="AC208" s="141">
        <f>IFERROR(_xlfn.XLOOKUP($D208,'Modelling New'!$D:$D,'Modelling New'!$J:$J),"")</f>
        <v>3.9666666666666668</v>
      </c>
      <c r="AD208" s="123">
        <f>IFERROR(_xlfn.XLOOKUP($D208,'Modelling New'!$D:$D,'Modelling New'!$T:$T)*1000,"")</f>
        <v>164597.86033847061</v>
      </c>
      <c r="AE208" s="140"/>
      <c r="AF208" s="140">
        <f>IFERROR(_xlfn.XLOOKUP($D208,'Modelling New'!$D:$D,'Modelling New'!$W:$W),"")</f>
        <v>8.792620744576421E-2</v>
      </c>
      <c r="AG208" s="140">
        <f>IFERROR(_xlfn.XLOOKUP($D208,'Modelling New'!$D:$D,'Modelling New'!$AE:$AE),"")</f>
        <v>0.96029999999999993</v>
      </c>
      <c r="AH208" s="140">
        <f>IFERROR(_xlfn.XLOOKUP($D208,'Modelling New'!$D:$D,'Modelling New'!$AF:$AF),"")</f>
        <v>0.995</v>
      </c>
      <c r="AI208" s="121" t="str">
        <f>IFERROR(_xlfn.XLOOKUP($A208,Input_Raw!$A:$A,Input_Raw!$DE:$DE),"")</f>
        <v/>
      </c>
      <c r="AJ208" s="121"/>
      <c r="AK208" s="121"/>
      <c r="AL208" s="121"/>
      <c r="AM208" s="121"/>
      <c r="AN208" s="142" t="str">
        <f>IFERROR(_xlfn.XLOOKUP($A208,Input_Raw!$A:$A,Input_Raw!$DB:$DB),"")</f>
        <v/>
      </c>
      <c r="AO208" s="140" t="str">
        <f>IFERROR((_xlfn.XLOOKUP($A208,'WTG Reactive Power'!$A:$A,'WTG Reactive Power'!$AR:$AR))/X208/1000,"")</f>
        <v/>
      </c>
      <c r="AP208" s="140">
        <f>IFERROR(_xlfn.XLOOKUP($D208,'Modelling New'!$D:$D,'Modelling New'!$AK:$AK),"")</f>
        <v>0.05</v>
      </c>
      <c r="AQ208" s="140">
        <f>IFERROR(_xlfn.XLOOKUP($D208,'Modelling New'!$D:$D,'Modelling New'!$AL:$AL),"")</f>
        <v>0.05</v>
      </c>
      <c r="AR208">
        <f>IFERROR(_xlfn.XLOOKUP($D208,'Modelling New'!$D:$D,'Modelling New'!$N:$N),"")</f>
        <v>78</v>
      </c>
    </row>
    <row r="209" spans="1:44">
      <c r="A209" s="134">
        <f t="shared" si="15"/>
        <v>45952</v>
      </c>
      <c r="B209" s="123">
        <f>YEAR(Table13[[#This Row],[Date]])+IF(MONTH(Table13[[#This Row],[Date]])&gt;=4,1,0)</f>
        <v>2026</v>
      </c>
      <c r="C209" s="121">
        <f>YEAR(Table13[[#This Row],[Date]])</f>
        <v>2025</v>
      </c>
      <c r="D209" s="135">
        <f>Table13[[#This Row],[Date]]-DAY(Table13[[#This Row],[Date]])+1</f>
        <v>45931</v>
      </c>
      <c r="E209" s="121">
        <f t="shared" si="16"/>
        <v>31</v>
      </c>
      <c r="F209" s="124"/>
      <c r="G209" s="125"/>
      <c r="H209" s="125"/>
      <c r="I209" s="125"/>
      <c r="J209" s="125"/>
      <c r="K209" s="136"/>
      <c r="L209" s="125"/>
      <c r="M209" s="125" t="str">
        <f>IFERROR(_xlfn.XLOOKUP($A209,Input_Raw!$A:$A,Input_Raw!CG:CG),"")</f>
        <v/>
      </c>
      <c r="N209" s="125" t="str">
        <f>IFERROR(_xlfn.XLOOKUP($A209,Input_Raw!$A:$A,Input_Raw!CH:CH),"")</f>
        <v/>
      </c>
      <c r="O209" s="137" t="str">
        <f t="shared" si="17"/>
        <v/>
      </c>
      <c r="P209" s="137" t="str">
        <f>IFERROR(1-SUMIF(WTG_BD!$F:$F,$A209,WTG_BD!$AA:$AA)/($AA209+SUMIF(WTG_BD!$F:$F,$A209,WTG_BD!$AA:$AA)),"")</f>
        <v/>
      </c>
      <c r="Q209" s="138" t="str">
        <f>IFERROR(1-SUMIF(IGA_BD!$F:$F,$A209,IGA_BD!$V:$V)/($AA209+SUMIF(IGA_BD!$F:$F,$A209,IGA_BD!$V:$V)),"")</f>
        <v/>
      </c>
      <c r="R209" s="143" t="str">
        <f>IFERROR(1-SUMIF(Grid_BD!$F:$F,$A209,Grid_BD!$X:$X)/($AA209+SUMIF(Grid_BD!$F:$F,$A209,Grid_BD!$X:$X)),"")</f>
        <v/>
      </c>
      <c r="S209" s="121"/>
      <c r="T209" s="138"/>
      <c r="U209" s="139"/>
      <c r="V209" s="121"/>
      <c r="W209" s="140" t="str">
        <f>IFERROR(Table13[[#This Row],[Mtr_Net_Exp (KWh)]]/(24*AR209*1000),"")</f>
        <v/>
      </c>
      <c r="X209" s="121" t="str">
        <f>IFERROR(_xlfn.XLOOKUP($A209,Input_Raw!$A:$A,Input_Raw!$CF:$CF),"")</f>
        <v/>
      </c>
      <c r="Y209" s="121" t="str">
        <f>IFERROR(_xlfn.XLOOKUP($A209,Input_Raw!$A:$A,Input_Raw!$CZ:$CZ),"")</f>
        <v/>
      </c>
      <c r="Z209" s="121" t="str">
        <f>IFERROR(_xlfn.XLOOKUP($A209,Input_Raw!$A:$A,Input_Raw!$DA:$DA),"")</f>
        <v/>
      </c>
      <c r="AA209" s="123" t="str">
        <f t="shared" si="18"/>
        <v/>
      </c>
      <c r="AB209" s="121" t="str">
        <f>IFERROR(_xlfn.XLOOKUP($A209,Input_Raw!$A:$A,Input_Raw!$DG:$DG),"")</f>
        <v/>
      </c>
      <c r="AC209" s="141">
        <f>IFERROR(_xlfn.XLOOKUP($D209,'Modelling New'!$D:$D,'Modelling New'!$J:$J),"")</f>
        <v>3.9666666666666668</v>
      </c>
      <c r="AD209" s="123">
        <f>IFERROR(_xlfn.XLOOKUP($D209,'Modelling New'!$D:$D,'Modelling New'!$T:$T)*1000,"")</f>
        <v>164597.86033847061</v>
      </c>
      <c r="AE209" s="140"/>
      <c r="AF209" s="140">
        <f>IFERROR(_xlfn.XLOOKUP($D209,'Modelling New'!$D:$D,'Modelling New'!$W:$W),"")</f>
        <v>8.792620744576421E-2</v>
      </c>
      <c r="AG209" s="140">
        <f>IFERROR(_xlfn.XLOOKUP($D209,'Modelling New'!$D:$D,'Modelling New'!$AE:$AE),"")</f>
        <v>0.96029999999999993</v>
      </c>
      <c r="AH209" s="140">
        <f>IFERROR(_xlfn.XLOOKUP($D209,'Modelling New'!$D:$D,'Modelling New'!$AF:$AF),"")</f>
        <v>0.995</v>
      </c>
      <c r="AI209" s="121" t="str">
        <f>IFERROR(_xlfn.XLOOKUP($A209,Input_Raw!$A:$A,Input_Raw!$DE:$DE),"")</f>
        <v/>
      </c>
      <c r="AJ209" s="121"/>
      <c r="AK209" s="121"/>
      <c r="AL209" s="121"/>
      <c r="AM209" s="121"/>
      <c r="AN209" s="142" t="str">
        <f>IFERROR(_xlfn.XLOOKUP($A209,Input_Raw!$A:$A,Input_Raw!$DB:$DB),"")</f>
        <v/>
      </c>
      <c r="AO209" s="140" t="str">
        <f>IFERROR((_xlfn.XLOOKUP($A209,'WTG Reactive Power'!$A:$A,'WTG Reactive Power'!$AR:$AR))/X209/1000,"")</f>
        <v/>
      </c>
      <c r="AP209" s="140">
        <f>IFERROR(_xlfn.XLOOKUP($D209,'Modelling New'!$D:$D,'Modelling New'!$AK:$AK),"")</f>
        <v>0.05</v>
      </c>
      <c r="AQ209" s="140">
        <f>IFERROR(_xlfn.XLOOKUP($D209,'Modelling New'!$D:$D,'Modelling New'!$AL:$AL),"")</f>
        <v>0.05</v>
      </c>
      <c r="AR209">
        <f>IFERROR(_xlfn.XLOOKUP($D209,'Modelling New'!$D:$D,'Modelling New'!$N:$N),"")</f>
        <v>78</v>
      </c>
    </row>
    <row r="210" spans="1:44">
      <c r="A210" s="134">
        <f t="shared" si="15"/>
        <v>45953</v>
      </c>
      <c r="B210" s="123">
        <f>YEAR(Table13[[#This Row],[Date]])+IF(MONTH(Table13[[#This Row],[Date]])&gt;=4,1,0)</f>
        <v>2026</v>
      </c>
      <c r="C210" s="121">
        <f>YEAR(Table13[[#This Row],[Date]])</f>
        <v>2025</v>
      </c>
      <c r="D210" s="135">
        <f>Table13[[#This Row],[Date]]-DAY(Table13[[#This Row],[Date]])+1</f>
        <v>45931</v>
      </c>
      <c r="E210" s="121">
        <f t="shared" si="16"/>
        <v>31</v>
      </c>
      <c r="F210" s="124"/>
      <c r="G210" s="125"/>
      <c r="H210" s="125"/>
      <c r="I210" s="125"/>
      <c r="J210" s="125"/>
      <c r="K210" s="136"/>
      <c r="L210" s="125"/>
      <c r="M210" s="125" t="str">
        <f>IFERROR(_xlfn.XLOOKUP($A210,Input_Raw!$A:$A,Input_Raw!CG:CG),"")</f>
        <v/>
      </c>
      <c r="N210" s="125" t="str">
        <f>IFERROR(_xlfn.XLOOKUP($A210,Input_Raw!$A:$A,Input_Raw!CH:CH),"")</f>
        <v/>
      </c>
      <c r="O210" s="137" t="str">
        <f t="shared" si="17"/>
        <v/>
      </c>
      <c r="P210" s="137" t="str">
        <f>IFERROR(1-SUMIF(WTG_BD!$F:$F,$A210,WTG_BD!$AA:$AA)/($AA210+SUMIF(WTG_BD!$F:$F,$A210,WTG_BD!$AA:$AA)),"")</f>
        <v/>
      </c>
      <c r="Q210" s="138" t="str">
        <f>IFERROR(1-SUMIF(IGA_BD!$F:$F,$A210,IGA_BD!$V:$V)/($AA210+SUMIF(IGA_BD!$F:$F,$A210,IGA_BD!$V:$V)),"")</f>
        <v/>
      </c>
      <c r="R210" s="143" t="str">
        <f>IFERROR(1-SUMIF(Grid_BD!$F:$F,$A210,Grid_BD!$X:$X)/($AA210+SUMIF(Grid_BD!$F:$F,$A210,Grid_BD!$X:$X)),"")</f>
        <v/>
      </c>
      <c r="S210" s="121"/>
      <c r="T210" s="138"/>
      <c r="U210" s="139"/>
      <c r="V210" s="121"/>
      <c r="W210" s="140" t="str">
        <f>IFERROR(Table13[[#This Row],[Mtr_Net_Exp (KWh)]]/(24*AR210*1000),"")</f>
        <v/>
      </c>
      <c r="X210" s="121" t="str">
        <f>IFERROR(_xlfn.XLOOKUP($A210,Input_Raw!$A:$A,Input_Raw!$CF:$CF),"")</f>
        <v/>
      </c>
      <c r="Y210" s="121" t="str">
        <f>IFERROR(_xlfn.XLOOKUP($A210,Input_Raw!$A:$A,Input_Raw!$CZ:$CZ),"")</f>
        <v/>
      </c>
      <c r="Z210" s="121" t="str">
        <f>IFERROR(_xlfn.XLOOKUP($A210,Input_Raw!$A:$A,Input_Raw!$DA:$DA),"")</f>
        <v/>
      </c>
      <c r="AA210" s="123" t="str">
        <f t="shared" si="18"/>
        <v/>
      </c>
      <c r="AB210" s="121" t="str">
        <f>IFERROR(_xlfn.XLOOKUP($A210,Input_Raw!$A:$A,Input_Raw!$DG:$DG),"")</f>
        <v/>
      </c>
      <c r="AC210" s="141">
        <f>IFERROR(_xlfn.XLOOKUP($D210,'Modelling New'!$D:$D,'Modelling New'!$J:$J),"")</f>
        <v>3.9666666666666668</v>
      </c>
      <c r="AD210" s="123">
        <f>IFERROR(_xlfn.XLOOKUP($D210,'Modelling New'!$D:$D,'Modelling New'!$T:$T)*1000,"")</f>
        <v>164597.86033847061</v>
      </c>
      <c r="AE210" s="140"/>
      <c r="AF210" s="140">
        <f>IFERROR(_xlfn.XLOOKUP($D210,'Modelling New'!$D:$D,'Modelling New'!$W:$W),"")</f>
        <v>8.792620744576421E-2</v>
      </c>
      <c r="AG210" s="140">
        <f>IFERROR(_xlfn.XLOOKUP($D210,'Modelling New'!$D:$D,'Modelling New'!$AE:$AE),"")</f>
        <v>0.96029999999999993</v>
      </c>
      <c r="AH210" s="140">
        <f>IFERROR(_xlfn.XLOOKUP($D210,'Modelling New'!$D:$D,'Modelling New'!$AF:$AF),"")</f>
        <v>0.995</v>
      </c>
      <c r="AI210" s="121" t="str">
        <f>IFERROR(_xlfn.XLOOKUP($A210,Input_Raw!$A:$A,Input_Raw!$DE:$DE),"")</f>
        <v/>
      </c>
      <c r="AJ210" s="121"/>
      <c r="AK210" s="121"/>
      <c r="AL210" s="121"/>
      <c r="AM210" s="121"/>
      <c r="AN210" s="142" t="str">
        <f>IFERROR(_xlfn.XLOOKUP($A210,Input_Raw!$A:$A,Input_Raw!$DB:$DB),"")</f>
        <v/>
      </c>
      <c r="AO210" s="140" t="str">
        <f>IFERROR((_xlfn.XLOOKUP($A210,'WTG Reactive Power'!$A:$A,'WTG Reactive Power'!$AR:$AR))/X210/1000,"")</f>
        <v/>
      </c>
      <c r="AP210" s="140">
        <f>IFERROR(_xlfn.XLOOKUP($D210,'Modelling New'!$D:$D,'Modelling New'!$AK:$AK),"")</f>
        <v>0.05</v>
      </c>
      <c r="AQ210" s="140">
        <f>IFERROR(_xlfn.XLOOKUP($D210,'Modelling New'!$D:$D,'Modelling New'!$AL:$AL),"")</f>
        <v>0.05</v>
      </c>
      <c r="AR210">
        <f>IFERROR(_xlfn.XLOOKUP($D210,'Modelling New'!$D:$D,'Modelling New'!$N:$N),"")</f>
        <v>78</v>
      </c>
    </row>
    <row r="211" spans="1:44">
      <c r="A211" s="134">
        <f t="shared" si="15"/>
        <v>45954</v>
      </c>
      <c r="B211" s="123">
        <f>YEAR(Table13[[#This Row],[Date]])+IF(MONTH(Table13[[#This Row],[Date]])&gt;=4,1,0)</f>
        <v>2026</v>
      </c>
      <c r="C211" s="121">
        <f>YEAR(Table13[[#This Row],[Date]])</f>
        <v>2025</v>
      </c>
      <c r="D211" s="135">
        <f>Table13[[#This Row],[Date]]-DAY(Table13[[#This Row],[Date]])+1</f>
        <v>45931</v>
      </c>
      <c r="E211" s="121">
        <f t="shared" si="16"/>
        <v>31</v>
      </c>
      <c r="F211" s="124"/>
      <c r="G211" s="125"/>
      <c r="H211" s="125"/>
      <c r="I211" s="125"/>
      <c r="J211" s="125"/>
      <c r="K211" s="136"/>
      <c r="L211" s="125"/>
      <c r="M211" s="125" t="str">
        <f>IFERROR(_xlfn.XLOOKUP($A211,Input_Raw!$A:$A,Input_Raw!CG:CG),"")</f>
        <v/>
      </c>
      <c r="N211" s="125" t="str">
        <f>IFERROR(_xlfn.XLOOKUP($A211,Input_Raw!$A:$A,Input_Raw!CH:CH),"")</f>
        <v/>
      </c>
      <c r="O211" s="137" t="str">
        <f t="shared" si="17"/>
        <v/>
      </c>
      <c r="P211" s="137" t="str">
        <f>IFERROR(1-SUMIF(WTG_BD!$F:$F,$A211,WTG_BD!$AA:$AA)/($AA211+SUMIF(WTG_BD!$F:$F,$A211,WTG_BD!$AA:$AA)),"")</f>
        <v/>
      </c>
      <c r="Q211" s="138" t="str">
        <f>IFERROR(1-SUMIF(IGA_BD!$F:$F,$A211,IGA_BD!$V:$V)/($AA211+SUMIF(IGA_BD!$F:$F,$A211,IGA_BD!$V:$V)),"")</f>
        <v/>
      </c>
      <c r="R211" s="143" t="str">
        <f>IFERROR(1-SUMIF(Grid_BD!$F:$F,$A211,Grid_BD!$X:$X)/($AA211+SUMIF(Grid_BD!$F:$F,$A211,Grid_BD!$X:$X)),"")</f>
        <v/>
      </c>
      <c r="S211" s="121"/>
      <c r="T211" s="138"/>
      <c r="U211" s="139"/>
      <c r="V211" s="121"/>
      <c r="W211" s="140" t="str">
        <f>IFERROR(Table13[[#This Row],[Mtr_Net_Exp (KWh)]]/(24*AR211*1000),"")</f>
        <v/>
      </c>
      <c r="X211" s="121" t="str">
        <f>IFERROR(_xlfn.XLOOKUP($A211,Input_Raw!$A:$A,Input_Raw!$CF:$CF),"")</f>
        <v/>
      </c>
      <c r="Y211" s="121" t="str">
        <f>IFERROR(_xlfn.XLOOKUP($A211,Input_Raw!$A:$A,Input_Raw!$CZ:$CZ),"")</f>
        <v/>
      </c>
      <c r="Z211" s="121" t="str">
        <f>IFERROR(_xlfn.XLOOKUP($A211,Input_Raw!$A:$A,Input_Raw!$DA:$DA),"")</f>
        <v/>
      </c>
      <c r="AA211" s="123" t="str">
        <f t="shared" si="18"/>
        <v/>
      </c>
      <c r="AB211" s="121" t="str">
        <f>IFERROR(_xlfn.XLOOKUP($A211,Input_Raw!$A:$A,Input_Raw!$DG:$DG),"")</f>
        <v/>
      </c>
      <c r="AC211" s="141">
        <f>IFERROR(_xlfn.XLOOKUP($D211,'Modelling New'!$D:$D,'Modelling New'!$J:$J),"")</f>
        <v>3.9666666666666668</v>
      </c>
      <c r="AD211" s="123">
        <f>IFERROR(_xlfn.XLOOKUP($D211,'Modelling New'!$D:$D,'Modelling New'!$T:$T)*1000,"")</f>
        <v>164597.86033847061</v>
      </c>
      <c r="AE211" s="140"/>
      <c r="AF211" s="140">
        <f>IFERROR(_xlfn.XLOOKUP($D211,'Modelling New'!$D:$D,'Modelling New'!$W:$W),"")</f>
        <v>8.792620744576421E-2</v>
      </c>
      <c r="AG211" s="140">
        <f>IFERROR(_xlfn.XLOOKUP($D211,'Modelling New'!$D:$D,'Modelling New'!$AE:$AE),"")</f>
        <v>0.96029999999999993</v>
      </c>
      <c r="AH211" s="140">
        <f>IFERROR(_xlfn.XLOOKUP($D211,'Modelling New'!$D:$D,'Modelling New'!$AF:$AF),"")</f>
        <v>0.995</v>
      </c>
      <c r="AI211" s="121" t="str">
        <f>IFERROR(_xlfn.XLOOKUP($A211,Input_Raw!$A:$A,Input_Raw!$DE:$DE),"")</f>
        <v/>
      </c>
      <c r="AJ211" s="121"/>
      <c r="AK211" s="121"/>
      <c r="AL211" s="121"/>
      <c r="AM211" s="121"/>
      <c r="AN211" s="142" t="str">
        <f>IFERROR(_xlfn.XLOOKUP($A211,Input_Raw!$A:$A,Input_Raw!$DB:$DB),"")</f>
        <v/>
      </c>
      <c r="AO211" s="140" t="str">
        <f>IFERROR((_xlfn.XLOOKUP($A211,'WTG Reactive Power'!$A:$A,'WTG Reactive Power'!$AR:$AR))/X211/1000,"")</f>
        <v/>
      </c>
      <c r="AP211" s="140">
        <f>IFERROR(_xlfn.XLOOKUP($D211,'Modelling New'!$D:$D,'Modelling New'!$AK:$AK),"")</f>
        <v>0.05</v>
      </c>
      <c r="AQ211" s="140">
        <f>IFERROR(_xlfn.XLOOKUP($D211,'Modelling New'!$D:$D,'Modelling New'!$AL:$AL),"")</f>
        <v>0.05</v>
      </c>
      <c r="AR211">
        <f>IFERROR(_xlfn.XLOOKUP($D211,'Modelling New'!$D:$D,'Modelling New'!$N:$N),"")</f>
        <v>78</v>
      </c>
    </row>
    <row r="212" spans="1:44">
      <c r="A212" s="134">
        <f t="shared" si="15"/>
        <v>45955</v>
      </c>
      <c r="B212" s="123">
        <f>YEAR(Table13[[#This Row],[Date]])+IF(MONTH(Table13[[#This Row],[Date]])&gt;=4,1,0)</f>
        <v>2026</v>
      </c>
      <c r="C212" s="121">
        <f>YEAR(Table13[[#This Row],[Date]])</f>
        <v>2025</v>
      </c>
      <c r="D212" s="135">
        <f>Table13[[#This Row],[Date]]-DAY(Table13[[#This Row],[Date]])+1</f>
        <v>45931</v>
      </c>
      <c r="E212" s="121">
        <f t="shared" si="16"/>
        <v>31</v>
      </c>
      <c r="F212" s="124"/>
      <c r="G212" s="125"/>
      <c r="H212" s="125"/>
      <c r="I212" s="125"/>
      <c r="J212" s="125"/>
      <c r="K212" s="136"/>
      <c r="L212" s="125"/>
      <c r="M212" s="125" t="str">
        <f>IFERROR(_xlfn.XLOOKUP($A212,Input_Raw!$A:$A,Input_Raw!CG:CG),"")</f>
        <v/>
      </c>
      <c r="N212" s="125" t="str">
        <f>IFERROR(_xlfn.XLOOKUP($A212,Input_Raw!$A:$A,Input_Raw!CH:CH),"")</f>
        <v/>
      </c>
      <c r="O212" s="137" t="str">
        <f t="shared" si="17"/>
        <v/>
      </c>
      <c r="P212" s="137" t="str">
        <f>IFERROR(1-SUMIF(WTG_BD!$F:$F,$A212,WTG_BD!$AA:$AA)/($AA212+SUMIF(WTG_BD!$F:$F,$A212,WTG_BD!$AA:$AA)),"")</f>
        <v/>
      </c>
      <c r="Q212" s="138" t="str">
        <f>IFERROR(1-SUMIF(IGA_BD!$F:$F,$A212,IGA_BD!$V:$V)/($AA212+SUMIF(IGA_BD!$F:$F,$A212,IGA_BD!$V:$V)),"")</f>
        <v/>
      </c>
      <c r="R212" s="143" t="str">
        <f>IFERROR(1-SUMIF(Grid_BD!$F:$F,$A212,Grid_BD!$X:$X)/($AA212+SUMIF(Grid_BD!$F:$F,$A212,Grid_BD!$X:$X)),"")</f>
        <v/>
      </c>
      <c r="S212" s="121"/>
      <c r="T212" s="138"/>
      <c r="U212" s="139"/>
      <c r="V212" s="121"/>
      <c r="W212" s="140" t="str">
        <f>IFERROR(Table13[[#This Row],[Mtr_Net_Exp (KWh)]]/(24*AR212*1000),"")</f>
        <v/>
      </c>
      <c r="X212" s="121" t="str">
        <f>IFERROR(_xlfn.XLOOKUP($A212,Input_Raw!$A:$A,Input_Raw!$CF:$CF),"")</f>
        <v/>
      </c>
      <c r="Y212" s="121" t="str">
        <f>IFERROR(_xlfn.XLOOKUP($A212,Input_Raw!$A:$A,Input_Raw!$CZ:$CZ),"")</f>
        <v/>
      </c>
      <c r="Z212" s="121" t="str">
        <f>IFERROR(_xlfn.XLOOKUP($A212,Input_Raw!$A:$A,Input_Raw!$DA:$DA),"")</f>
        <v/>
      </c>
      <c r="AA212" s="123" t="str">
        <f t="shared" si="18"/>
        <v/>
      </c>
      <c r="AB212" s="121" t="str">
        <f>IFERROR(_xlfn.XLOOKUP($A212,Input_Raw!$A:$A,Input_Raw!$DG:$DG),"")</f>
        <v/>
      </c>
      <c r="AC212" s="141">
        <f>IFERROR(_xlfn.XLOOKUP($D212,'Modelling New'!$D:$D,'Modelling New'!$J:$J),"")</f>
        <v>3.9666666666666668</v>
      </c>
      <c r="AD212" s="123">
        <f>IFERROR(_xlfn.XLOOKUP($D212,'Modelling New'!$D:$D,'Modelling New'!$T:$T)*1000,"")</f>
        <v>164597.86033847061</v>
      </c>
      <c r="AE212" s="140"/>
      <c r="AF212" s="140">
        <f>IFERROR(_xlfn.XLOOKUP($D212,'Modelling New'!$D:$D,'Modelling New'!$W:$W),"")</f>
        <v>8.792620744576421E-2</v>
      </c>
      <c r="AG212" s="140">
        <f>IFERROR(_xlfn.XLOOKUP($D212,'Modelling New'!$D:$D,'Modelling New'!$AE:$AE),"")</f>
        <v>0.96029999999999993</v>
      </c>
      <c r="AH212" s="140">
        <f>IFERROR(_xlfn.XLOOKUP($D212,'Modelling New'!$D:$D,'Modelling New'!$AF:$AF),"")</f>
        <v>0.995</v>
      </c>
      <c r="AI212" s="121" t="str">
        <f>IFERROR(_xlfn.XLOOKUP($A212,Input_Raw!$A:$A,Input_Raw!$DE:$DE),"")</f>
        <v/>
      </c>
      <c r="AJ212" s="121"/>
      <c r="AK212" s="121"/>
      <c r="AL212" s="121"/>
      <c r="AM212" s="121"/>
      <c r="AN212" s="142" t="str">
        <f>IFERROR(_xlfn.XLOOKUP($A212,Input_Raw!$A:$A,Input_Raw!$DB:$DB),"")</f>
        <v/>
      </c>
      <c r="AO212" s="140" t="str">
        <f>IFERROR((_xlfn.XLOOKUP($A212,'WTG Reactive Power'!$A:$A,'WTG Reactive Power'!$AR:$AR))/X212/1000,"")</f>
        <v/>
      </c>
      <c r="AP212" s="140">
        <f>IFERROR(_xlfn.XLOOKUP($D212,'Modelling New'!$D:$D,'Modelling New'!$AK:$AK),"")</f>
        <v>0.05</v>
      </c>
      <c r="AQ212" s="140">
        <f>IFERROR(_xlfn.XLOOKUP($D212,'Modelling New'!$D:$D,'Modelling New'!$AL:$AL),"")</f>
        <v>0.05</v>
      </c>
      <c r="AR212">
        <f>IFERROR(_xlfn.XLOOKUP($D212,'Modelling New'!$D:$D,'Modelling New'!$N:$N),"")</f>
        <v>78</v>
      </c>
    </row>
    <row r="213" spans="1:44">
      <c r="A213" s="134">
        <f t="shared" si="15"/>
        <v>45956</v>
      </c>
      <c r="B213" s="123">
        <f>YEAR(Table13[[#This Row],[Date]])+IF(MONTH(Table13[[#This Row],[Date]])&gt;=4,1,0)</f>
        <v>2026</v>
      </c>
      <c r="C213" s="121">
        <f>YEAR(Table13[[#This Row],[Date]])</f>
        <v>2025</v>
      </c>
      <c r="D213" s="135">
        <f>Table13[[#This Row],[Date]]-DAY(Table13[[#This Row],[Date]])+1</f>
        <v>45931</v>
      </c>
      <c r="E213" s="121">
        <f t="shared" si="16"/>
        <v>31</v>
      </c>
      <c r="F213" s="124"/>
      <c r="G213" s="125"/>
      <c r="H213" s="125"/>
      <c r="I213" s="125"/>
      <c r="J213" s="125"/>
      <c r="K213" s="136"/>
      <c r="L213" s="125"/>
      <c r="M213" s="125" t="str">
        <f>IFERROR(_xlfn.XLOOKUP($A213,Input_Raw!$A:$A,Input_Raw!CG:CG),"")</f>
        <v/>
      </c>
      <c r="N213" s="125" t="str">
        <f>IFERROR(_xlfn.XLOOKUP($A213,Input_Raw!$A:$A,Input_Raw!CH:CH),"")</f>
        <v/>
      </c>
      <c r="O213" s="137" t="str">
        <f t="shared" si="17"/>
        <v/>
      </c>
      <c r="P213" s="137" t="str">
        <f>IFERROR(1-SUMIF(WTG_BD!$F:$F,$A213,WTG_BD!$AA:$AA)/($AA213+SUMIF(WTG_BD!$F:$F,$A213,WTG_BD!$AA:$AA)),"")</f>
        <v/>
      </c>
      <c r="Q213" s="138" t="str">
        <f>IFERROR(1-SUMIF(IGA_BD!$F:$F,$A213,IGA_BD!$V:$V)/($AA213+SUMIF(IGA_BD!$F:$F,$A213,IGA_BD!$V:$V)),"")</f>
        <v/>
      </c>
      <c r="R213" s="143" t="str">
        <f>IFERROR(1-SUMIF(Grid_BD!$F:$F,$A213,Grid_BD!$X:$X)/($AA213+SUMIF(Grid_BD!$F:$F,$A213,Grid_BD!$X:$X)),"")</f>
        <v/>
      </c>
      <c r="S213" s="121"/>
      <c r="T213" s="138"/>
      <c r="U213" s="139"/>
      <c r="V213" s="121"/>
      <c r="W213" s="140" t="str">
        <f>IFERROR(Table13[[#This Row],[Mtr_Net_Exp (KWh)]]/(24*AR213*1000),"")</f>
        <v/>
      </c>
      <c r="X213" s="121" t="str">
        <f>IFERROR(_xlfn.XLOOKUP($A213,Input_Raw!$A:$A,Input_Raw!$CF:$CF),"")</f>
        <v/>
      </c>
      <c r="Y213" s="121" t="str">
        <f>IFERROR(_xlfn.XLOOKUP($A213,Input_Raw!$A:$A,Input_Raw!$CZ:$CZ),"")</f>
        <v/>
      </c>
      <c r="Z213" s="121" t="str">
        <f>IFERROR(_xlfn.XLOOKUP($A213,Input_Raw!$A:$A,Input_Raw!$DA:$DA),"")</f>
        <v/>
      </c>
      <c r="AA213" s="123" t="str">
        <f t="shared" si="18"/>
        <v/>
      </c>
      <c r="AB213" s="121" t="str">
        <f>IFERROR(_xlfn.XLOOKUP($A213,Input_Raw!$A:$A,Input_Raw!$DG:$DG),"")</f>
        <v/>
      </c>
      <c r="AC213" s="141">
        <f>IFERROR(_xlfn.XLOOKUP($D213,'Modelling New'!$D:$D,'Modelling New'!$J:$J),"")</f>
        <v>3.9666666666666668</v>
      </c>
      <c r="AD213" s="123">
        <f>IFERROR(_xlfn.XLOOKUP($D213,'Modelling New'!$D:$D,'Modelling New'!$T:$T)*1000,"")</f>
        <v>164597.86033847061</v>
      </c>
      <c r="AE213" s="140"/>
      <c r="AF213" s="140">
        <f>IFERROR(_xlfn.XLOOKUP($D213,'Modelling New'!$D:$D,'Modelling New'!$W:$W),"")</f>
        <v>8.792620744576421E-2</v>
      </c>
      <c r="AG213" s="140">
        <f>IFERROR(_xlfn.XLOOKUP($D213,'Modelling New'!$D:$D,'Modelling New'!$AE:$AE),"")</f>
        <v>0.96029999999999993</v>
      </c>
      <c r="AH213" s="140">
        <f>IFERROR(_xlfn.XLOOKUP($D213,'Modelling New'!$D:$D,'Modelling New'!$AF:$AF),"")</f>
        <v>0.995</v>
      </c>
      <c r="AI213" s="121" t="str">
        <f>IFERROR(_xlfn.XLOOKUP($A213,Input_Raw!$A:$A,Input_Raw!$DE:$DE),"")</f>
        <v/>
      </c>
      <c r="AJ213" s="121"/>
      <c r="AK213" s="121"/>
      <c r="AL213" s="121"/>
      <c r="AM213" s="121"/>
      <c r="AN213" s="142" t="str">
        <f>IFERROR(_xlfn.XLOOKUP($A213,Input_Raw!$A:$A,Input_Raw!$DB:$DB),"")</f>
        <v/>
      </c>
      <c r="AO213" s="140" t="str">
        <f>IFERROR((_xlfn.XLOOKUP($A213,'WTG Reactive Power'!$A:$A,'WTG Reactive Power'!$AR:$AR))/X213/1000,"")</f>
        <v/>
      </c>
      <c r="AP213" s="140">
        <f>IFERROR(_xlfn.XLOOKUP($D213,'Modelling New'!$D:$D,'Modelling New'!$AK:$AK),"")</f>
        <v>0.05</v>
      </c>
      <c r="AQ213" s="140">
        <f>IFERROR(_xlfn.XLOOKUP($D213,'Modelling New'!$D:$D,'Modelling New'!$AL:$AL),"")</f>
        <v>0.05</v>
      </c>
      <c r="AR213">
        <f>IFERROR(_xlfn.XLOOKUP($D213,'Modelling New'!$D:$D,'Modelling New'!$N:$N),"")</f>
        <v>78</v>
      </c>
    </row>
    <row r="214" spans="1:44">
      <c r="A214" s="134">
        <f t="shared" si="15"/>
        <v>45957</v>
      </c>
      <c r="B214" s="123">
        <f>YEAR(Table13[[#This Row],[Date]])+IF(MONTH(Table13[[#This Row],[Date]])&gt;=4,1,0)</f>
        <v>2026</v>
      </c>
      <c r="C214" s="121">
        <f>YEAR(Table13[[#This Row],[Date]])</f>
        <v>2025</v>
      </c>
      <c r="D214" s="135">
        <f>Table13[[#This Row],[Date]]-DAY(Table13[[#This Row],[Date]])+1</f>
        <v>45931</v>
      </c>
      <c r="E214" s="121">
        <f t="shared" si="16"/>
        <v>31</v>
      </c>
      <c r="F214" s="124"/>
      <c r="G214" s="125"/>
      <c r="H214" s="125"/>
      <c r="I214" s="125"/>
      <c r="J214" s="125"/>
      <c r="K214" s="136"/>
      <c r="L214" s="125"/>
      <c r="M214" s="125" t="str">
        <f>IFERROR(_xlfn.XLOOKUP($A214,Input_Raw!$A:$A,Input_Raw!CG:CG),"")</f>
        <v/>
      </c>
      <c r="N214" s="125" t="str">
        <f>IFERROR(_xlfn.XLOOKUP($A214,Input_Raw!$A:$A,Input_Raw!CH:CH),"")</f>
        <v/>
      </c>
      <c r="O214" s="137" t="str">
        <f t="shared" si="17"/>
        <v/>
      </c>
      <c r="P214" s="137" t="str">
        <f>IFERROR(1-SUMIF(WTG_BD!$F:$F,$A214,WTG_BD!$AA:$AA)/($AA214+SUMIF(WTG_BD!$F:$F,$A214,WTG_BD!$AA:$AA)),"")</f>
        <v/>
      </c>
      <c r="Q214" s="138" t="str">
        <f>IFERROR(1-SUMIF(IGA_BD!$F:$F,$A214,IGA_BD!$V:$V)/($AA214+SUMIF(IGA_BD!$F:$F,$A214,IGA_BD!$V:$V)),"")</f>
        <v/>
      </c>
      <c r="R214" s="143" t="str">
        <f>IFERROR(1-SUMIF(Grid_BD!$F:$F,$A214,Grid_BD!$X:$X)/($AA214+SUMIF(Grid_BD!$F:$F,$A214,Grid_BD!$X:$X)),"")</f>
        <v/>
      </c>
      <c r="S214" s="121"/>
      <c r="T214" s="138"/>
      <c r="U214" s="139"/>
      <c r="V214" s="121"/>
      <c r="W214" s="140" t="str">
        <f>IFERROR(Table13[[#This Row],[Mtr_Net_Exp (KWh)]]/(24*AR214*1000),"")</f>
        <v/>
      </c>
      <c r="X214" s="121" t="str">
        <f>IFERROR(_xlfn.XLOOKUP($A214,Input_Raw!$A:$A,Input_Raw!$CF:$CF),"")</f>
        <v/>
      </c>
      <c r="Y214" s="121" t="str">
        <f>IFERROR(_xlfn.XLOOKUP($A214,Input_Raw!$A:$A,Input_Raw!$CZ:$CZ),"")</f>
        <v/>
      </c>
      <c r="Z214" s="121" t="str">
        <f>IFERROR(_xlfn.XLOOKUP($A214,Input_Raw!$A:$A,Input_Raw!$DA:$DA),"")</f>
        <v/>
      </c>
      <c r="AA214" s="123" t="str">
        <f t="shared" si="18"/>
        <v/>
      </c>
      <c r="AB214" s="121" t="str">
        <f>IFERROR(_xlfn.XLOOKUP($A214,Input_Raw!$A:$A,Input_Raw!$DG:$DG),"")</f>
        <v/>
      </c>
      <c r="AC214" s="141">
        <f>IFERROR(_xlfn.XLOOKUP($D214,'Modelling New'!$D:$D,'Modelling New'!$J:$J),"")</f>
        <v>3.9666666666666668</v>
      </c>
      <c r="AD214" s="123">
        <f>IFERROR(_xlfn.XLOOKUP($D214,'Modelling New'!$D:$D,'Modelling New'!$T:$T)*1000,"")</f>
        <v>164597.86033847061</v>
      </c>
      <c r="AE214" s="140"/>
      <c r="AF214" s="140">
        <f>IFERROR(_xlfn.XLOOKUP($D214,'Modelling New'!$D:$D,'Modelling New'!$W:$W),"")</f>
        <v>8.792620744576421E-2</v>
      </c>
      <c r="AG214" s="140">
        <f>IFERROR(_xlfn.XLOOKUP($D214,'Modelling New'!$D:$D,'Modelling New'!$AE:$AE),"")</f>
        <v>0.96029999999999993</v>
      </c>
      <c r="AH214" s="140">
        <f>IFERROR(_xlfn.XLOOKUP($D214,'Modelling New'!$D:$D,'Modelling New'!$AF:$AF),"")</f>
        <v>0.995</v>
      </c>
      <c r="AI214" s="121" t="str">
        <f>IFERROR(_xlfn.XLOOKUP($A214,Input_Raw!$A:$A,Input_Raw!$DE:$DE),"")</f>
        <v/>
      </c>
      <c r="AJ214" s="121"/>
      <c r="AK214" s="121"/>
      <c r="AL214" s="121"/>
      <c r="AM214" s="121"/>
      <c r="AN214" s="142" t="str">
        <f>IFERROR(_xlfn.XLOOKUP($A214,Input_Raw!$A:$A,Input_Raw!$DB:$DB),"")</f>
        <v/>
      </c>
      <c r="AO214" s="140" t="str">
        <f>IFERROR((_xlfn.XLOOKUP($A214,'WTG Reactive Power'!$A:$A,'WTG Reactive Power'!$AR:$AR))/X214/1000,"")</f>
        <v/>
      </c>
      <c r="AP214" s="140">
        <f>IFERROR(_xlfn.XLOOKUP($D214,'Modelling New'!$D:$D,'Modelling New'!$AK:$AK),"")</f>
        <v>0.05</v>
      </c>
      <c r="AQ214" s="140">
        <f>IFERROR(_xlfn.XLOOKUP($D214,'Modelling New'!$D:$D,'Modelling New'!$AL:$AL),"")</f>
        <v>0.05</v>
      </c>
      <c r="AR214">
        <f>IFERROR(_xlfn.XLOOKUP($D214,'Modelling New'!$D:$D,'Modelling New'!$N:$N),"")</f>
        <v>78</v>
      </c>
    </row>
    <row r="215" spans="1:44">
      <c r="A215" s="134">
        <f t="shared" si="15"/>
        <v>45958</v>
      </c>
      <c r="B215" s="123">
        <f>YEAR(Table13[[#This Row],[Date]])+IF(MONTH(Table13[[#This Row],[Date]])&gt;=4,1,0)</f>
        <v>2026</v>
      </c>
      <c r="C215" s="121">
        <f>YEAR(Table13[[#This Row],[Date]])</f>
        <v>2025</v>
      </c>
      <c r="D215" s="135">
        <f>Table13[[#This Row],[Date]]-DAY(Table13[[#This Row],[Date]])+1</f>
        <v>45931</v>
      </c>
      <c r="E215" s="121">
        <f t="shared" si="16"/>
        <v>31</v>
      </c>
      <c r="F215" s="124"/>
      <c r="G215" s="125"/>
      <c r="H215" s="125"/>
      <c r="I215" s="125"/>
      <c r="J215" s="125"/>
      <c r="K215" s="136"/>
      <c r="L215" s="125"/>
      <c r="M215" s="125" t="str">
        <f>IFERROR(_xlfn.XLOOKUP($A215,Input_Raw!$A:$A,Input_Raw!CG:CG),"")</f>
        <v/>
      </c>
      <c r="N215" s="125" t="str">
        <f>IFERROR(_xlfn.XLOOKUP($A215,Input_Raw!$A:$A,Input_Raw!CH:CH),"")</f>
        <v/>
      </c>
      <c r="O215" s="137" t="str">
        <f t="shared" si="17"/>
        <v/>
      </c>
      <c r="P215" s="137" t="str">
        <f>IFERROR(1-SUMIF(WTG_BD!$F:$F,$A215,WTG_BD!$AA:$AA)/($AA215+SUMIF(WTG_BD!$F:$F,$A215,WTG_BD!$AA:$AA)),"")</f>
        <v/>
      </c>
      <c r="Q215" s="138" t="str">
        <f>IFERROR(1-SUMIF(IGA_BD!$F:$F,$A215,IGA_BD!$V:$V)/($AA215+SUMIF(IGA_BD!$F:$F,$A215,IGA_BD!$V:$V)),"")</f>
        <v/>
      </c>
      <c r="R215" s="143" t="str">
        <f>IFERROR(1-SUMIF(Grid_BD!$F:$F,$A215,Grid_BD!$X:$X)/($AA215+SUMIF(Grid_BD!$F:$F,$A215,Grid_BD!$X:$X)),"")</f>
        <v/>
      </c>
      <c r="S215" s="121"/>
      <c r="T215" s="138"/>
      <c r="U215" s="139"/>
      <c r="V215" s="121"/>
      <c r="W215" s="140" t="str">
        <f>IFERROR(Table13[[#This Row],[Mtr_Net_Exp (KWh)]]/(24*AR215*1000),"")</f>
        <v/>
      </c>
      <c r="X215" s="121" t="str">
        <f>IFERROR(_xlfn.XLOOKUP($A215,Input_Raw!$A:$A,Input_Raw!$CF:$CF),"")</f>
        <v/>
      </c>
      <c r="Y215" s="121" t="str">
        <f>IFERROR(_xlfn.XLOOKUP($A215,Input_Raw!$A:$A,Input_Raw!$CZ:$CZ),"")</f>
        <v/>
      </c>
      <c r="Z215" s="121" t="str">
        <f>IFERROR(_xlfn.XLOOKUP($A215,Input_Raw!$A:$A,Input_Raw!$DA:$DA),"")</f>
        <v/>
      </c>
      <c r="AA215" s="123" t="str">
        <f t="shared" si="18"/>
        <v/>
      </c>
      <c r="AB215" s="121" t="str">
        <f>IFERROR(_xlfn.XLOOKUP($A215,Input_Raw!$A:$A,Input_Raw!$DG:$DG),"")</f>
        <v/>
      </c>
      <c r="AC215" s="141">
        <f>IFERROR(_xlfn.XLOOKUP($D215,'Modelling New'!$D:$D,'Modelling New'!$J:$J),"")</f>
        <v>3.9666666666666668</v>
      </c>
      <c r="AD215" s="123">
        <f>IFERROR(_xlfn.XLOOKUP($D215,'Modelling New'!$D:$D,'Modelling New'!$T:$T)*1000,"")</f>
        <v>164597.86033847061</v>
      </c>
      <c r="AE215" s="140"/>
      <c r="AF215" s="140">
        <f>IFERROR(_xlfn.XLOOKUP($D215,'Modelling New'!$D:$D,'Modelling New'!$W:$W),"")</f>
        <v>8.792620744576421E-2</v>
      </c>
      <c r="AG215" s="140">
        <f>IFERROR(_xlfn.XLOOKUP($D215,'Modelling New'!$D:$D,'Modelling New'!$AE:$AE),"")</f>
        <v>0.96029999999999993</v>
      </c>
      <c r="AH215" s="140">
        <f>IFERROR(_xlfn.XLOOKUP($D215,'Modelling New'!$D:$D,'Modelling New'!$AF:$AF),"")</f>
        <v>0.995</v>
      </c>
      <c r="AI215" s="121" t="str">
        <f>IFERROR(_xlfn.XLOOKUP($A215,Input_Raw!$A:$A,Input_Raw!$DE:$DE),"")</f>
        <v/>
      </c>
      <c r="AJ215" s="121"/>
      <c r="AK215" s="121"/>
      <c r="AL215" s="121"/>
      <c r="AM215" s="121"/>
      <c r="AN215" s="142" t="str">
        <f>IFERROR(_xlfn.XLOOKUP($A215,Input_Raw!$A:$A,Input_Raw!$DB:$DB),"")</f>
        <v/>
      </c>
      <c r="AO215" s="140" t="str">
        <f>IFERROR((_xlfn.XLOOKUP($A215,'WTG Reactive Power'!$A:$A,'WTG Reactive Power'!$AR:$AR))/X215/1000,"")</f>
        <v/>
      </c>
      <c r="AP215" s="140">
        <f>IFERROR(_xlfn.XLOOKUP($D215,'Modelling New'!$D:$D,'Modelling New'!$AK:$AK),"")</f>
        <v>0.05</v>
      </c>
      <c r="AQ215" s="140">
        <f>IFERROR(_xlfn.XLOOKUP($D215,'Modelling New'!$D:$D,'Modelling New'!$AL:$AL),"")</f>
        <v>0.05</v>
      </c>
      <c r="AR215">
        <f>IFERROR(_xlfn.XLOOKUP($D215,'Modelling New'!$D:$D,'Modelling New'!$N:$N),"")</f>
        <v>78</v>
      </c>
    </row>
    <row r="216" spans="1:44">
      <c r="A216" s="134">
        <f t="shared" si="15"/>
        <v>45959</v>
      </c>
      <c r="B216" s="123">
        <f>YEAR(Table13[[#This Row],[Date]])+IF(MONTH(Table13[[#This Row],[Date]])&gt;=4,1,0)</f>
        <v>2026</v>
      </c>
      <c r="C216" s="121">
        <f>YEAR(Table13[[#This Row],[Date]])</f>
        <v>2025</v>
      </c>
      <c r="D216" s="135">
        <f>Table13[[#This Row],[Date]]-DAY(Table13[[#This Row],[Date]])+1</f>
        <v>45931</v>
      </c>
      <c r="E216" s="121">
        <f t="shared" si="16"/>
        <v>31</v>
      </c>
      <c r="F216" s="124"/>
      <c r="G216" s="125"/>
      <c r="H216" s="125"/>
      <c r="I216" s="125"/>
      <c r="J216" s="125"/>
      <c r="K216" s="136"/>
      <c r="L216" s="125"/>
      <c r="M216" s="125" t="str">
        <f>IFERROR(_xlfn.XLOOKUP($A216,Input_Raw!$A:$A,Input_Raw!CG:CG),"")</f>
        <v/>
      </c>
      <c r="N216" s="125" t="str">
        <f>IFERROR(_xlfn.XLOOKUP($A216,Input_Raw!$A:$A,Input_Raw!CH:CH),"")</f>
        <v/>
      </c>
      <c r="O216" s="137" t="str">
        <f t="shared" si="17"/>
        <v/>
      </c>
      <c r="P216" s="137" t="str">
        <f>IFERROR(1-SUMIF(WTG_BD!$F:$F,$A216,WTG_BD!$AA:$AA)/($AA216+SUMIF(WTG_BD!$F:$F,$A216,WTG_BD!$AA:$AA)),"")</f>
        <v/>
      </c>
      <c r="Q216" s="138" t="str">
        <f>IFERROR(1-SUMIF(IGA_BD!$F:$F,$A216,IGA_BD!$V:$V)/($AA216+SUMIF(IGA_BD!$F:$F,$A216,IGA_BD!$V:$V)),"")</f>
        <v/>
      </c>
      <c r="R216" s="143" t="str">
        <f>IFERROR(1-SUMIF(Grid_BD!$F:$F,$A216,Grid_BD!$X:$X)/($AA216+SUMIF(Grid_BD!$F:$F,$A216,Grid_BD!$X:$X)),"")</f>
        <v/>
      </c>
      <c r="S216" s="121"/>
      <c r="T216" s="138"/>
      <c r="U216" s="139"/>
      <c r="V216" s="121"/>
      <c r="W216" s="140" t="str">
        <f>IFERROR(Table13[[#This Row],[Mtr_Net_Exp (KWh)]]/(24*AR216*1000),"")</f>
        <v/>
      </c>
      <c r="X216" s="121" t="str">
        <f>IFERROR(_xlfn.XLOOKUP($A216,Input_Raw!$A:$A,Input_Raw!$CF:$CF),"")</f>
        <v/>
      </c>
      <c r="Y216" s="121" t="str">
        <f>IFERROR(_xlfn.XLOOKUP($A216,Input_Raw!$A:$A,Input_Raw!$CZ:$CZ),"")</f>
        <v/>
      </c>
      <c r="Z216" s="121" t="str">
        <f>IFERROR(_xlfn.XLOOKUP($A216,Input_Raw!$A:$A,Input_Raw!$DA:$DA),"")</f>
        <v/>
      </c>
      <c r="AA216" s="123" t="str">
        <f t="shared" si="18"/>
        <v/>
      </c>
      <c r="AB216" s="121" t="str">
        <f>IFERROR(_xlfn.XLOOKUP($A216,Input_Raw!$A:$A,Input_Raw!$DG:$DG),"")</f>
        <v/>
      </c>
      <c r="AC216" s="141">
        <f>IFERROR(_xlfn.XLOOKUP($D216,'Modelling New'!$D:$D,'Modelling New'!$J:$J),"")</f>
        <v>3.9666666666666668</v>
      </c>
      <c r="AD216" s="123">
        <f>IFERROR(_xlfn.XLOOKUP($D216,'Modelling New'!$D:$D,'Modelling New'!$T:$T)*1000,"")</f>
        <v>164597.86033847061</v>
      </c>
      <c r="AE216" s="140"/>
      <c r="AF216" s="140">
        <f>IFERROR(_xlfn.XLOOKUP($D216,'Modelling New'!$D:$D,'Modelling New'!$W:$W),"")</f>
        <v>8.792620744576421E-2</v>
      </c>
      <c r="AG216" s="140">
        <f>IFERROR(_xlfn.XLOOKUP($D216,'Modelling New'!$D:$D,'Modelling New'!$AE:$AE),"")</f>
        <v>0.96029999999999993</v>
      </c>
      <c r="AH216" s="140">
        <f>IFERROR(_xlfn.XLOOKUP($D216,'Modelling New'!$D:$D,'Modelling New'!$AF:$AF),"")</f>
        <v>0.995</v>
      </c>
      <c r="AI216" s="121" t="str">
        <f>IFERROR(_xlfn.XLOOKUP($A216,Input_Raw!$A:$A,Input_Raw!$DE:$DE),"")</f>
        <v/>
      </c>
      <c r="AJ216" s="121"/>
      <c r="AK216" s="121"/>
      <c r="AL216" s="121"/>
      <c r="AM216" s="121"/>
      <c r="AN216" s="142" t="str">
        <f>IFERROR(_xlfn.XLOOKUP($A216,Input_Raw!$A:$A,Input_Raw!$DB:$DB),"")</f>
        <v/>
      </c>
      <c r="AO216" s="140" t="str">
        <f>IFERROR((_xlfn.XLOOKUP($A216,'WTG Reactive Power'!$A:$A,'WTG Reactive Power'!$AR:$AR))/X216/1000,"")</f>
        <v/>
      </c>
      <c r="AP216" s="140">
        <f>IFERROR(_xlfn.XLOOKUP($D216,'Modelling New'!$D:$D,'Modelling New'!$AK:$AK),"")</f>
        <v>0.05</v>
      </c>
      <c r="AQ216" s="140">
        <f>IFERROR(_xlfn.XLOOKUP($D216,'Modelling New'!$D:$D,'Modelling New'!$AL:$AL),"")</f>
        <v>0.05</v>
      </c>
      <c r="AR216">
        <f>IFERROR(_xlfn.XLOOKUP($D216,'Modelling New'!$D:$D,'Modelling New'!$N:$N),"")</f>
        <v>78</v>
      </c>
    </row>
    <row r="217" spans="1:44">
      <c r="A217" s="134">
        <f t="shared" si="15"/>
        <v>45960</v>
      </c>
      <c r="B217" s="123">
        <f>YEAR(Table13[[#This Row],[Date]])+IF(MONTH(Table13[[#This Row],[Date]])&gt;=4,1,0)</f>
        <v>2026</v>
      </c>
      <c r="C217" s="121">
        <f>YEAR(Table13[[#This Row],[Date]])</f>
        <v>2025</v>
      </c>
      <c r="D217" s="135">
        <f>Table13[[#This Row],[Date]]-DAY(Table13[[#This Row],[Date]])+1</f>
        <v>45931</v>
      </c>
      <c r="E217" s="121">
        <f t="shared" si="16"/>
        <v>31</v>
      </c>
      <c r="F217" s="124"/>
      <c r="G217" s="125"/>
      <c r="H217" s="125"/>
      <c r="I217" s="125"/>
      <c r="J217" s="125"/>
      <c r="K217" s="136"/>
      <c r="L217" s="125"/>
      <c r="M217" s="125" t="str">
        <f>IFERROR(_xlfn.XLOOKUP($A217,Input_Raw!$A:$A,Input_Raw!CG:CG),"")</f>
        <v/>
      </c>
      <c r="N217" s="125" t="str">
        <f>IFERROR(_xlfn.XLOOKUP($A217,Input_Raw!$A:$A,Input_Raw!CH:CH),"")</f>
        <v/>
      </c>
      <c r="O217" s="137" t="str">
        <f t="shared" si="17"/>
        <v/>
      </c>
      <c r="P217" s="137" t="str">
        <f>IFERROR(1-SUMIF(WTG_BD!$F:$F,$A217,WTG_BD!$AA:$AA)/($AA217+SUMIF(WTG_BD!$F:$F,$A217,WTG_BD!$AA:$AA)),"")</f>
        <v/>
      </c>
      <c r="Q217" s="138" t="str">
        <f>IFERROR(1-SUMIF(IGA_BD!$F:$F,$A217,IGA_BD!$V:$V)/($AA217+SUMIF(IGA_BD!$F:$F,$A217,IGA_BD!$V:$V)),"")</f>
        <v/>
      </c>
      <c r="R217" s="143" t="str">
        <f>IFERROR(1-SUMIF(Grid_BD!$F:$F,$A217,Grid_BD!$X:$X)/($AA217+SUMIF(Grid_BD!$F:$F,$A217,Grid_BD!$X:$X)),"")</f>
        <v/>
      </c>
      <c r="S217" s="121"/>
      <c r="T217" s="138"/>
      <c r="U217" s="139"/>
      <c r="V217" s="121"/>
      <c r="W217" s="140" t="str">
        <f>IFERROR(Table13[[#This Row],[Mtr_Net_Exp (KWh)]]/(24*AR217*1000),"")</f>
        <v/>
      </c>
      <c r="X217" s="121" t="str">
        <f>IFERROR(_xlfn.XLOOKUP($A217,Input_Raw!$A:$A,Input_Raw!$CF:$CF),"")</f>
        <v/>
      </c>
      <c r="Y217" s="121" t="str">
        <f>IFERROR(_xlfn.XLOOKUP($A217,Input_Raw!$A:$A,Input_Raw!$CZ:$CZ),"")</f>
        <v/>
      </c>
      <c r="Z217" s="121" t="str">
        <f>IFERROR(_xlfn.XLOOKUP($A217,Input_Raw!$A:$A,Input_Raw!$DA:$DA),"")</f>
        <v/>
      </c>
      <c r="AA217" s="123" t="str">
        <f t="shared" si="18"/>
        <v/>
      </c>
      <c r="AB217" s="121" t="str">
        <f>IFERROR(_xlfn.XLOOKUP($A217,Input_Raw!$A:$A,Input_Raw!$DG:$DG),"")</f>
        <v/>
      </c>
      <c r="AC217" s="141">
        <f>IFERROR(_xlfn.XLOOKUP($D217,'Modelling New'!$D:$D,'Modelling New'!$J:$J),"")</f>
        <v>3.9666666666666668</v>
      </c>
      <c r="AD217" s="123">
        <f>IFERROR(_xlfn.XLOOKUP($D217,'Modelling New'!$D:$D,'Modelling New'!$T:$T)*1000,"")</f>
        <v>164597.86033847061</v>
      </c>
      <c r="AE217" s="140"/>
      <c r="AF217" s="140">
        <f>IFERROR(_xlfn.XLOOKUP($D217,'Modelling New'!$D:$D,'Modelling New'!$W:$W),"")</f>
        <v>8.792620744576421E-2</v>
      </c>
      <c r="AG217" s="140">
        <f>IFERROR(_xlfn.XLOOKUP($D217,'Modelling New'!$D:$D,'Modelling New'!$AE:$AE),"")</f>
        <v>0.96029999999999993</v>
      </c>
      <c r="AH217" s="140">
        <f>IFERROR(_xlfn.XLOOKUP($D217,'Modelling New'!$D:$D,'Modelling New'!$AF:$AF),"")</f>
        <v>0.995</v>
      </c>
      <c r="AI217" s="121" t="str">
        <f>IFERROR(_xlfn.XLOOKUP($A217,Input_Raw!$A:$A,Input_Raw!$DE:$DE),"")</f>
        <v/>
      </c>
      <c r="AJ217" s="121"/>
      <c r="AK217" s="121"/>
      <c r="AL217" s="121"/>
      <c r="AM217" s="121"/>
      <c r="AN217" s="142" t="str">
        <f>IFERROR(_xlfn.XLOOKUP($A217,Input_Raw!$A:$A,Input_Raw!$DB:$DB),"")</f>
        <v/>
      </c>
      <c r="AO217" s="140" t="str">
        <f>IFERROR((_xlfn.XLOOKUP($A217,'WTG Reactive Power'!$A:$A,'WTG Reactive Power'!$AR:$AR))/X217/1000,"")</f>
        <v/>
      </c>
      <c r="AP217" s="140">
        <f>IFERROR(_xlfn.XLOOKUP($D217,'Modelling New'!$D:$D,'Modelling New'!$AK:$AK),"")</f>
        <v>0.05</v>
      </c>
      <c r="AQ217" s="140">
        <f>IFERROR(_xlfn.XLOOKUP($D217,'Modelling New'!$D:$D,'Modelling New'!$AL:$AL),"")</f>
        <v>0.05</v>
      </c>
      <c r="AR217">
        <f>IFERROR(_xlfn.XLOOKUP($D217,'Modelling New'!$D:$D,'Modelling New'!$N:$N),"")</f>
        <v>78</v>
      </c>
    </row>
    <row r="218" spans="1:44">
      <c r="A218" s="134">
        <f t="shared" si="15"/>
        <v>45961</v>
      </c>
      <c r="B218" s="123">
        <f>YEAR(Table13[[#This Row],[Date]])+IF(MONTH(Table13[[#This Row],[Date]])&gt;=4,1,0)</f>
        <v>2026</v>
      </c>
      <c r="C218" s="121">
        <f>YEAR(Table13[[#This Row],[Date]])</f>
        <v>2025</v>
      </c>
      <c r="D218" s="135">
        <f>Table13[[#This Row],[Date]]-DAY(Table13[[#This Row],[Date]])+1</f>
        <v>45931</v>
      </c>
      <c r="E218" s="121">
        <f t="shared" si="16"/>
        <v>31</v>
      </c>
      <c r="F218" s="124"/>
      <c r="G218" s="125"/>
      <c r="H218" s="125"/>
      <c r="I218" s="125"/>
      <c r="J218" s="125"/>
      <c r="K218" s="136"/>
      <c r="L218" s="125"/>
      <c r="M218" s="125" t="str">
        <f>IFERROR(_xlfn.XLOOKUP($A218,Input_Raw!$A:$A,Input_Raw!CG:CG),"")</f>
        <v/>
      </c>
      <c r="N218" s="125" t="str">
        <f>IFERROR(_xlfn.XLOOKUP($A218,Input_Raw!$A:$A,Input_Raw!CH:CH),"")</f>
        <v/>
      </c>
      <c r="O218" s="137" t="str">
        <f t="shared" si="17"/>
        <v/>
      </c>
      <c r="P218" s="137" t="str">
        <f>IFERROR(1-SUMIF(WTG_BD!$F:$F,$A218,WTG_BD!$AA:$AA)/($AA218+SUMIF(WTG_BD!$F:$F,$A218,WTG_BD!$AA:$AA)),"")</f>
        <v/>
      </c>
      <c r="Q218" s="138" t="str">
        <f>IFERROR(1-SUMIF(IGA_BD!$F:$F,$A218,IGA_BD!$V:$V)/($AA218+SUMIF(IGA_BD!$F:$F,$A218,IGA_BD!$V:$V)),"")</f>
        <v/>
      </c>
      <c r="R218" s="143" t="str">
        <f>IFERROR(1-SUMIF(Grid_BD!$F:$F,$A218,Grid_BD!$X:$X)/($AA218+SUMIF(Grid_BD!$F:$F,$A218,Grid_BD!$X:$X)),"")</f>
        <v/>
      </c>
      <c r="S218" s="121"/>
      <c r="T218" s="138"/>
      <c r="U218" s="139"/>
      <c r="V218" s="121"/>
      <c r="W218" s="140" t="str">
        <f>IFERROR(Table13[[#This Row],[Mtr_Net_Exp (KWh)]]/(24*AR218*1000),"")</f>
        <v/>
      </c>
      <c r="X218" s="121" t="str">
        <f>IFERROR(_xlfn.XLOOKUP($A218,Input_Raw!$A:$A,Input_Raw!$CF:$CF),"")</f>
        <v/>
      </c>
      <c r="Y218" s="121" t="str">
        <f>IFERROR(_xlfn.XLOOKUP($A218,Input_Raw!$A:$A,Input_Raw!$CZ:$CZ),"")</f>
        <v/>
      </c>
      <c r="Z218" s="121" t="str">
        <f>IFERROR(_xlfn.XLOOKUP($A218,Input_Raw!$A:$A,Input_Raw!$DA:$DA),"")</f>
        <v/>
      </c>
      <c r="AA218" s="123" t="str">
        <f t="shared" si="18"/>
        <v/>
      </c>
      <c r="AB218" s="121" t="str">
        <f>IFERROR(_xlfn.XLOOKUP($A218,Input_Raw!$A:$A,Input_Raw!$DG:$DG),"")</f>
        <v/>
      </c>
      <c r="AC218" s="141">
        <f>IFERROR(_xlfn.XLOOKUP($D218,'Modelling New'!$D:$D,'Modelling New'!$J:$J),"")</f>
        <v>3.9666666666666668</v>
      </c>
      <c r="AD218" s="123">
        <f>IFERROR(_xlfn.XLOOKUP($D218,'Modelling New'!$D:$D,'Modelling New'!$T:$T)*1000,"")</f>
        <v>164597.86033847061</v>
      </c>
      <c r="AE218" s="140"/>
      <c r="AF218" s="140">
        <f>IFERROR(_xlfn.XLOOKUP($D218,'Modelling New'!$D:$D,'Modelling New'!$W:$W),"")</f>
        <v>8.792620744576421E-2</v>
      </c>
      <c r="AG218" s="140">
        <f>IFERROR(_xlfn.XLOOKUP($D218,'Modelling New'!$D:$D,'Modelling New'!$AE:$AE),"")</f>
        <v>0.96029999999999993</v>
      </c>
      <c r="AH218" s="140">
        <f>IFERROR(_xlfn.XLOOKUP($D218,'Modelling New'!$D:$D,'Modelling New'!$AF:$AF),"")</f>
        <v>0.995</v>
      </c>
      <c r="AI218" s="121" t="str">
        <f>IFERROR(_xlfn.XLOOKUP($A218,Input_Raw!$A:$A,Input_Raw!$DE:$DE),"")</f>
        <v/>
      </c>
      <c r="AJ218" s="121"/>
      <c r="AK218" s="121"/>
      <c r="AL218" s="121"/>
      <c r="AM218" s="121"/>
      <c r="AN218" s="142" t="str">
        <f>IFERROR(_xlfn.XLOOKUP($A218,Input_Raw!$A:$A,Input_Raw!$DB:$DB),"")</f>
        <v/>
      </c>
      <c r="AO218" s="140" t="str">
        <f>IFERROR((_xlfn.XLOOKUP($A218,'WTG Reactive Power'!$A:$A,'WTG Reactive Power'!$AR:$AR))/X218/1000,"")</f>
        <v/>
      </c>
      <c r="AP218" s="140">
        <f>IFERROR(_xlfn.XLOOKUP($D218,'Modelling New'!$D:$D,'Modelling New'!$AK:$AK),"")</f>
        <v>0.05</v>
      </c>
      <c r="AQ218" s="140">
        <f>IFERROR(_xlfn.XLOOKUP($D218,'Modelling New'!$D:$D,'Modelling New'!$AL:$AL),"")</f>
        <v>0.05</v>
      </c>
      <c r="AR218">
        <f>IFERROR(_xlfn.XLOOKUP($D218,'Modelling New'!$D:$D,'Modelling New'!$N:$N),"")</f>
        <v>78</v>
      </c>
    </row>
    <row r="219" spans="1:44">
      <c r="A219" s="134">
        <f t="shared" si="15"/>
        <v>45962</v>
      </c>
      <c r="B219" s="123">
        <f>YEAR(Table13[[#This Row],[Date]])+IF(MONTH(Table13[[#This Row],[Date]])&gt;=4,1,0)</f>
        <v>2026</v>
      </c>
      <c r="C219" s="121">
        <f>YEAR(Table13[[#This Row],[Date]])</f>
        <v>2025</v>
      </c>
      <c r="D219" s="135">
        <f>Table13[[#This Row],[Date]]-DAY(Table13[[#This Row],[Date]])+1</f>
        <v>45962</v>
      </c>
      <c r="E219" s="121">
        <f t="shared" si="16"/>
        <v>30</v>
      </c>
      <c r="F219" s="124"/>
      <c r="G219" s="125"/>
      <c r="H219" s="125"/>
      <c r="I219" s="125"/>
      <c r="J219" s="125"/>
      <c r="K219" s="136"/>
      <c r="L219" s="125"/>
      <c r="M219" s="125" t="str">
        <f>IFERROR(_xlfn.XLOOKUP($A219,Input_Raw!$A:$A,Input_Raw!CG:CG),"")</f>
        <v/>
      </c>
      <c r="N219" s="125" t="str">
        <f>IFERROR(_xlfn.XLOOKUP($A219,Input_Raw!$A:$A,Input_Raw!CH:CH),"")</f>
        <v/>
      </c>
      <c r="O219" s="137" t="str">
        <f t="shared" si="17"/>
        <v/>
      </c>
      <c r="P219" s="137" t="str">
        <f>IFERROR(1-SUMIF(WTG_BD!$F:$F,$A219,WTG_BD!$AA:$AA)/($AA219+SUMIF(WTG_BD!$F:$F,$A219,WTG_BD!$AA:$AA)),"")</f>
        <v/>
      </c>
      <c r="Q219" s="138" t="str">
        <f>IFERROR(1-SUMIF(IGA_BD!$F:$F,$A219,IGA_BD!$V:$V)/($AA219+SUMIF(IGA_BD!$F:$F,$A219,IGA_BD!$V:$V)),"")</f>
        <v/>
      </c>
      <c r="R219" s="143" t="str">
        <f>IFERROR(1-SUMIF(Grid_BD!$F:$F,$A219,Grid_BD!$X:$X)/($AA219+SUMIF(Grid_BD!$F:$F,$A219,Grid_BD!$X:$X)),"")</f>
        <v/>
      </c>
      <c r="S219" s="121"/>
      <c r="T219" s="138"/>
      <c r="U219" s="139"/>
      <c r="V219" s="121"/>
      <c r="W219" s="140" t="str">
        <f>IFERROR(Table13[[#This Row],[Mtr_Net_Exp (KWh)]]/(24*AR219*1000),"")</f>
        <v/>
      </c>
      <c r="X219" s="121" t="str">
        <f>IFERROR(_xlfn.XLOOKUP($A219,Input_Raw!$A:$A,Input_Raw!$CF:$CF),"")</f>
        <v/>
      </c>
      <c r="Y219" s="121" t="str">
        <f>IFERROR(_xlfn.XLOOKUP($A219,Input_Raw!$A:$A,Input_Raw!$CZ:$CZ),"")</f>
        <v/>
      </c>
      <c r="Z219" s="121" t="str">
        <f>IFERROR(_xlfn.XLOOKUP($A219,Input_Raw!$A:$A,Input_Raw!$DA:$DA),"")</f>
        <v/>
      </c>
      <c r="AA219" s="123" t="str">
        <f t="shared" si="18"/>
        <v/>
      </c>
      <c r="AB219" s="121" t="str">
        <f>IFERROR(_xlfn.XLOOKUP($A219,Input_Raw!$A:$A,Input_Raw!$DG:$DG),"")</f>
        <v/>
      </c>
      <c r="AC219" s="141">
        <f>IFERROR(_xlfn.XLOOKUP($D219,'Modelling New'!$D:$D,'Modelling New'!$J:$J),"")</f>
        <v>4.0333333333333332</v>
      </c>
      <c r="AD219" s="123">
        <f>IFERROR(_xlfn.XLOOKUP($D219,'Modelling New'!$D:$D,'Modelling New'!$T:$T)*1000,"")</f>
        <v>162550.46310460661</v>
      </c>
      <c r="AE219" s="140"/>
      <c r="AF219" s="140">
        <f>IFERROR(_xlfn.XLOOKUP($D219,'Modelling New'!$D:$D,'Modelling New'!$W:$W),"")</f>
        <v>8.6832512342204377E-2</v>
      </c>
      <c r="AG219" s="140">
        <f>IFERROR(_xlfn.XLOOKUP($D219,'Modelling New'!$D:$D,'Modelling New'!$AE:$AE),"")</f>
        <v>0.96029999999999993</v>
      </c>
      <c r="AH219" s="140">
        <f>IFERROR(_xlfn.XLOOKUP($D219,'Modelling New'!$D:$D,'Modelling New'!$AF:$AF),"")</f>
        <v>0.995</v>
      </c>
      <c r="AI219" s="121" t="str">
        <f>IFERROR(_xlfn.XLOOKUP($A219,Input_Raw!$A:$A,Input_Raw!$DE:$DE),"")</f>
        <v/>
      </c>
      <c r="AJ219" s="121"/>
      <c r="AK219" s="121"/>
      <c r="AL219" s="121"/>
      <c r="AM219" s="121"/>
      <c r="AN219" s="142" t="str">
        <f>IFERROR(_xlfn.XLOOKUP($A219,Input_Raw!$A:$A,Input_Raw!$DB:$DB),"")</f>
        <v/>
      </c>
      <c r="AO219" s="140" t="str">
        <f>IFERROR((_xlfn.XLOOKUP($A219,'WTG Reactive Power'!$A:$A,'WTG Reactive Power'!$AR:$AR))/X219/1000,"")</f>
        <v/>
      </c>
      <c r="AP219" s="140">
        <f>IFERROR(_xlfn.XLOOKUP($D219,'Modelling New'!$D:$D,'Modelling New'!$AK:$AK),"")</f>
        <v>0.05</v>
      </c>
      <c r="AQ219" s="140">
        <f>IFERROR(_xlfn.XLOOKUP($D219,'Modelling New'!$D:$D,'Modelling New'!$AL:$AL),"")</f>
        <v>0.05</v>
      </c>
      <c r="AR219">
        <f>IFERROR(_xlfn.XLOOKUP($D219,'Modelling New'!$D:$D,'Modelling New'!$N:$N),"")</f>
        <v>78</v>
      </c>
    </row>
    <row r="220" spans="1:44">
      <c r="A220" s="134">
        <f t="shared" si="15"/>
        <v>45963</v>
      </c>
      <c r="B220" s="123">
        <f>YEAR(Table13[[#This Row],[Date]])+IF(MONTH(Table13[[#This Row],[Date]])&gt;=4,1,0)</f>
        <v>2026</v>
      </c>
      <c r="C220" s="121">
        <f>YEAR(Table13[[#This Row],[Date]])</f>
        <v>2025</v>
      </c>
      <c r="D220" s="135">
        <f>Table13[[#This Row],[Date]]-DAY(Table13[[#This Row],[Date]])+1</f>
        <v>45962</v>
      </c>
      <c r="E220" s="121">
        <f t="shared" si="16"/>
        <v>30</v>
      </c>
      <c r="F220" s="124"/>
      <c r="G220" s="125"/>
      <c r="H220" s="125"/>
      <c r="I220" s="125"/>
      <c r="J220" s="125"/>
      <c r="K220" s="136"/>
      <c r="L220" s="125"/>
      <c r="M220" s="125" t="str">
        <f>IFERROR(_xlfn.XLOOKUP($A220,Input_Raw!$A:$A,Input_Raw!CG:CG),"")</f>
        <v/>
      </c>
      <c r="N220" s="125" t="str">
        <f>IFERROR(_xlfn.XLOOKUP($A220,Input_Raw!$A:$A,Input_Raw!CH:CH),"")</f>
        <v/>
      </c>
      <c r="O220" s="137" t="str">
        <f t="shared" si="17"/>
        <v/>
      </c>
      <c r="P220" s="137" t="str">
        <f>IFERROR(1-SUMIF(WTG_BD!$F:$F,$A220,WTG_BD!$AA:$AA)/($AA220+SUMIF(WTG_BD!$F:$F,$A220,WTG_BD!$AA:$AA)),"")</f>
        <v/>
      </c>
      <c r="Q220" s="138" t="str">
        <f>IFERROR(1-SUMIF(IGA_BD!$F:$F,$A220,IGA_BD!$V:$V)/($AA220+SUMIF(IGA_BD!$F:$F,$A220,IGA_BD!$V:$V)),"")</f>
        <v/>
      </c>
      <c r="R220" s="143" t="str">
        <f>IFERROR(1-SUMIF(Grid_BD!$F:$F,$A220,Grid_BD!$X:$X)/($AA220+SUMIF(Grid_BD!$F:$F,$A220,Grid_BD!$X:$X)),"")</f>
        <v/>
      </c>
      <c r="S220" s="121"/>
      <c r="T220" s="138"/>
      <c r="U220" s="139"/>
      <c r="V220" s="121"/>
      <c r="W220" s="140" t="str">
        <f>IFERROR(Table13[[#This Row],[Mtr_Net_Exp (KWh)]]/(24*AR220*1000),"")</f>
        <v/>
      </c>
      <c r="X220" s="121" t="str">
        <f>IFERROR(_xlfn.XLOOKUP($A220,Input_Raw!$A:$A,Input_Raw!$CF:$CF),"")</f>
        <v/>
      </c>
      <c r="Y220" s="121" t="str">
        <f>IFERROR(_xlfn.XLOOKUP($A220,Input_Raw!$A:$A,Input_Raw!$CZ:$CZ),"")</f>
        <v/>
      </c>
      <c r="Z220" s="121" t="str">
        <f>IFERROR(_xlfn.XLOOKUP($A220,Input_Raw!$A:$A,Input_Raw!$DA:$DA),"")</f>
        <v/>
      </c>
      <c r="AA220" s="123" t="str">
        <f t="shared" si="18"/>
        <v/>
      </c>
      <c r="AB220" s="121" t="str">
        <f>IFERROR(_xlfn.XLOOKUP($A220,Input_Raw!$A:$A,Input_Raw!$DG:$DG),"")</f>
        <v/>
      </c>
      <c r="AC220" s="141">
        <f>IFERROR(_xlfn.XLOOKUP($D220,'Modelling New'!$D:$D,'Modelling New'!$J:$J),"")</f>
        <v>4.0333333333333332</v>
      </c>
      <c r="AD220" s="123">
        <f>IFERROR(_xlfn.XLOOKUP($D220,'Modelling New'!$D:$D,'Modelling New'!$T:$T)*1000,"")</f>
        <v>162550.46310460661</v>
      </c>
      <c r="AE220" s="140"/>
      <c r="AF220" s="140">
        <f>IFERROR(_xlfn.XLOOKUP($D220,'Modelling New'!$D:$D,'Modelling New'!$W:$W),"")</f>
        <v>8.6832512342204377E-2</v>
      </c>
      <c r="AG220" s="140">
        <f>IFERROR(_xlfn.XLOOKUP($D220,'Modelling New'!$D:$D,'Modelling New'!$AE:$AE),"")</f>
        <v>0.96029999999999993</v>
      </c>
      <c r="AH220" s="140">
        <f>IFERROR(_xlfn.XLOOKUP($D220,'Modelling New'!$D:$D,'Modelling New'!$AF:$AF),"")</f>
        <v>0.995</v>
      </c>
      <c r="AI220" s="121" t="str">
        <f>IFERROR(_xlfn.XLOOKUP($A220,Input_Raw!$A:$A,Input_Raw!$DE:$DE),"")</f>
        <v/>
      </c>
      <c r="AJ220" s="121"/>
      <c r="AK220" s="121"/>
      <c r="AL220" s="121"/>
      <c r="AM220" s="121"/>
      <c r="AN220" s="142" t="str">
        <f>IFERROR(_xlfn.XLOOKUP($A220,Input_Raw!$A:$A,Input_Raw!$DB:$DB),"")</f>
        <v/>
      </c>
      <c r="AO220" s="140" t="str">
        <f>IFERROR((_xlfn.XLOOKUP($A220,'WTG Reactive Power'!$A:$A,'WTG Reactive Power'!$AR:$AR))/X220/1000,"")</f>
        <v/>
      </c>
      <c r="AP220" s="140">
        <f>IFERROR(_xlfn.XLOOKUP($D220,'Modelling New'!$D:$D,'Modelling New'!$AK:$AK),"")</f>
        <v>0.05</v>
      </c>
      <c r="AQ220" s="140">
        <f>IFERROR(_xlfn.XLOOKUP($D220,'Modelling New'!$D:$D,'Modelling New'!$AL:$AL),"")</f>
        <v>0.05</v>
      </c>
      <c r="AR220">
        <f>IFERROR(_xlfn.XLOOKUP($D220,'Modelling New'!$D:$D,'Modelling New'!$N:$N),"")</f>
        <v>78</v>
      </c>
    </row>
    <row r="221" spans="1:44">
      <c r="A221" s="134">
        <f t="shared" si="15"/>
        <v>45964</v>
      </c>
      <c r="B221" s="123">
        <f>YEAR(Table13[[#This Row],[Date]])+IF(MONTH(Table13[[#This Row],[Date]])&gt;=4,1,0)</f>
        <v>2026</v>
      </c>
      <c r="C221" s="121">
        <f>YEAR(Table13[[#This Row],[Date]])</f>
        <v>2025</v>
      </c>
      <c r="D221" s="135">
        <f>Table13[[#This Row],[Date]]-DAY(Table13[[#This Row],[Date]])+1</f>
        <v>45962</v>
      </c>
      <c r="E221" s="121">
        <f t="shared" si="16"/>
        <v>30</v>
      </c>
      <c r="F221" s="124"/>
      <c r="G221" s="125"/>
      <c r="H221" s="125"/>
      <c r="I221" s="125"/>
      <c r="J221" s="125"/>
      <c r="K221" s="136"/>
      <c r="L221" s="125"/>
      <c r="M221" s="125" t="str">
        <f>IFERROR(_xlfn.XLOOKUP($A221,Input_Raw!$A:$A,Input_Raw!CG:CG),"")</f>
        <v/>
      </c>
      <c r="N221" s="125" t="str">
        <f>IFERROR(_xlfn.XLOOKUP($A221,Input_Raw!$A:$A,Input_Raw!CH:CH),"")</f>
        <v/>
      </c>
      <c r="O221" s="137" t="str">
        <f t="shared" si="17"/>
        <v/>
      </c>
      <c r="P221" s="137" t="str">
        <f>IFERROR(1-SUMIF(WTG_BD!$F:$F,$A221,WTG_BD!$AA:$AA)/($AA221+SUMIF(WTG_BD!$F:$F,$A221,WTG_BD!$AA:$AA)),"")</f>
        <v/>
      </c>
      <c r="Q221" s="138" t="str">
        <f>IFERROR(1-SUMIF(IGA_BD!$F:$F,$A221,IGA_BD!$V:$V)/($AA221+SUMIF(IGA_BD!$F:$F,$A221,IGA_BD!$V:$V)),"")</f>
        <v/>
      </c>
      <c r="R221" s="143" t="str">
        <f>IFERROR(1-SUMIF(Grid_BD!$F:$F,$A221,Grid_BD!$X:$X)/($AA221+SUMIF(Grid_BD!$F:$F,$A221,Grid_BD!$X:$X)),"")</f>
        <v/>
      </c>
      <c r="S221" s="121"/>
      <c r="T221" s="138"/>
      <c r="U221" s="139"/>
      <c r="V221" s="121"/>
      <c r="W221" s="140" t="str">
        <f>IFERROR(Table13[[#This Row],[Mtr_Net_Exp (KWh)]]/(24*AR221*1000),"")</f>
        <v/>
      </c>
      <c r="X221" s="121" t="str">
        <f>IFERROR(_xlfn.XLOOKUP($A221,Input_Raw!$A:$A,Input_Raw!$CF:$CF),"")</f>
        <v/>
      </c>
      <c r="Y221" s="121" t="str">
        <f>IFERROR(_xlfn.XLOOKUP($A221,Input_Raw!$A:$A,Input_Raw!$CZ:$CZ),"")</f>
        <v/>
      </c>
      <c r="Z221" s="121" t="str">
        <f>IFERROR(_xlfn.XLOOKUP($A221,Input_Raw!$A:$A,Input_Raw!$DA:$DA),"")</f>
        <v/>
      </c>
      <c r="AA221" s="123" t="str">
        <f t="shared" si="18"/>
        <v/>
      </c>
      <c r="AB221" s="121" t="str">
        <f>IFERROR(_xlfn.XLOOKUP($A221,Input_Raw!$A:$A,Input_Raw!$DG:$DG),"")</f>
        <v/>
      </c>
      <c r="AC221" s="141">
        <f>IFERROR(_xlfn.XLOOKUP($D221,'Modelling New'!$D:$D,'Modelling New'!$J:$J),"")</f>
        <v>4.0333333333333332</v>
      </c>
      <c r="AD221" s="123">
        <f>IFERROR(_xlfn.XLOOKUP($D221,'Modelling New'!$D:$D,'Modelling New'!$T:$T)*1000,"")</f>
        <v>162550.46310460661</v>
      </c>
      <c r="AE221" s="140"/>
      <c r="AF221" s="140">
        <f>IFERROR(_xlfn.XLOOKUP($D221,'Modelling New'!$D:$D,'Modelling New'!$W:$W),"")</f>
        <v>8.6832512342204377E-2</v>
      </c>
      <c r="AG221" s="140">
        <f>IFERROR(_xlfn.XLOOKUP($D221,'Modelling New'!$D:$D,'Modelling New'!$AE:$AE),"")</f>
        <v>0.96029999999999993</v>
      </c>
      <c r="AH221" s="140">
        <f>IFERROR(_xlfn.XLOOKUP($D221,'Modelling New'!$D:$D,'Modelling New'!$AF:$AF),"")</f>
        <v>0.995</v>
      </c>
      <c r="AI221" s="121" t="str">
        <f>IFERROR(_xlfn.XLOOKUP($A221,Input_Raw!$A:$A,Input_Raw!$DE:$DE),"")</f>
        <v/>
      </c>
      <c r="AJ221" s="121"/>
      <c r="AK221" s="121"/>
      <c r="AL221" s="121"/>
      <c r="AM221" s="121"/>
      <c r="AN221" s="142" t="str">
        <f>IFERROR(_xlfn.XLOOKUP($A221,Input_Raw!$A:$A,Input_Raw!$DB:$DB),"")</f>
        <v/>
      </c>
      <c r="AO221" s="140" t="str">
        <f>IFERROR((_xlfn.XLOOKUP($A221,'WTG Reactive Power'!$A:$A,'WTG Reactive Power'!$AR:$AR))/X221/1000,"")</f>
        <v/>
      </c>
      <c r="AP221" s="140">
        <f>IFERROR(_xlfn.XLOOKUP($D221,'Modelling New'!$D:$D,'Modelling New'!$AK:$AK),"")</f>
        <v>0.05</v>
      </c>
      <c r="AQ221" s="140">
        <f>IFERROR(_xlfn.XLOOKUP($D221,'Modelling New'!$D:$D,'Modelling New'!$AL:$AL),"")</f>
        <v>0.05</v>
      </c>
      <c r="AR221">
        <f>IFERROR(_xlfn.XLOOKUP($D221,'Modelling New'!$D:$D,'Modelling New'!$N:$N),"")</f>
        <v>78</v>
      </c>
    </row>
    <row r="222" spans="1:44">
      <c r="A222" s="134">
        <f t="shared" si="15"/>
        <v>45965</v>
      </c>
      <c r="B222" s="123">
        <f>YEAR(Table13[[#This Row],[Date]])+IF(MONTH(Table13[[#This Row],[Date]])&gt;=4,1,0)</f>
        <v>2026</v>
      </c>
      <c r="C222" s="121">
        <f>YEAR(Table13[[#This Row],[Date]])</f>
        <v>2025</v>
      </c>
      <c r="D222" s="135">
        <f>Table13[[#This Row],[Date]]-DAY(Table13[[#This Row],[Date]])+1</f>
        <v>45962</v>
      </c>
      <c r="E222" s="121">
        <f t="shared" si="16"/>
        <v>30</v>
      </c>
      <c r="F222" s="124"/>
      <c r="G222" s="125"/>
      <c r="H222" s="125"/>
      <c r="I222" s="125"/>
      <c r="J222" s="125"/>
      <c r="K222" s="136"/>
      <c r="L222" s="125"/>
      <c r="M222" s="125" t="str">
        <f>IFERROR(_xlfn.XLOOKUP($A222,Input_Raw!$A:$A,Input_Raw!CG:CG),"")</f>
        <v/>
      </c>
      <c r="N222" s="125" t="str">
        <f>IFERROR(_xlfn.XLOOKUP($A222,Input_Raw!$A:$A,Input_Raw!CH:CH),"")</f>
        <v/>
      </c>
      <c r="O222" s="137" t="str">
        <f t="shared" si="17"/>
        <v/>
      </c>
      <c r="P222" s="137" t="str">
        <f>IFERROR(1-SUMIF(WTG_BD!$F:$F,$A222,WTG_BD!$AA:$AA)/($AA222+SUMIF(WTG_BD!$F:$F,$A222,WTG_BD!$AA:$AA)),"")</f>
        <v/>
      </c>
      <c r="Q222" s="138" t="str">
        <f>IFERROR(1-SUMIF(IGA_BD!$F:$F,$A222,IGA_BD!$V:$V)/($AA222+SUMIF(IGA_BD!$F:$F,$A222,IGA_BD!$V:$V)),"")</f>
        <v/>
      </c>
      <c r="R222" s="143" t="str">
        <f>IFERROR(1-SUMIF(Grid_BD!$F:$F,$A222,Grid_BD!$X:$X)/($AA222+SUMIF(Grid_BD!$F:$F,$A222,Grid_BD!$X:$X)),"")</f>
        <v/>
      </c>
      <c r="S222" s="121"/>
      <c r="T222" s="138"/>
      <c r="U222" s="139"/>
      <c r="V222" s="121"/>
      <c r="W222" s="140" t="str">
        <f>IFERROR(Table13[[#This Row],[Mtr_Net_Exp (KWh)]]/(24*AR222*1000),"")</f>
        <v/>
      </c>
      <c r="X222" s="121" t="str">
        <f>IFERROR(_xlfn.XLOOKUP($A222,Input_Raw!$A:$A,Input_Raw!$CF:$CF),"")</f>
        <v/>
      </c>
      <c r="Y222" s="121" t="str">
        <f>IFERROR(_xlfn.XLOOKUP($A222,Input_Raw!$A:$A,Input_Raw!$CZ:$CZ),"")</f>
        <v/>
      </c>
      <c r="Z222" s="121" t="str">
        <f>IFERROR(_xlfn.XLOOKUP($A222,Input_Raw!$A:$A,Input_Raw!$DA:$DA),"")</f>
        <v/>
      </c>
      <c r="AA222" s="123" t="str">
        <f t="shared" si="18"/>
        <v/>
      </c>
      <c r="AB222" s="121" t="str">
        <f>IFERROR(_xlfn.XLOOKUP($A222,Input_Raw!$A:$A,Input_Raw!$DG:$DG),"")</f>
        <v/>
      </c>
      <c r="AC222" s="141">
        <f>IFERROR(_xlfn.XLOOKUP($D222,'Modelling New'!$D:$D,'Modelling New'!$J:$J),"")</f>
        <v>4.0333333333333332</v>
      </c>
      <c r="AD222" s="123">
        <f>IFERROR(_xlfn.XLOOKUP($D222,'Modelling New'!$D:$D,'Modelling New'!$T:$T)*1000,"")</f>
        <v>162550.46310460661</v>
      </c>
      <c r="AE222" s="140"/>
      <c r="AF222" s="140">
        <f>IFERROR(_xlfn.XLOOKUP($D222,'Modelling New'!$D:$D,'Modelling New'!$W:$W),"")</f>
        <v>8.6832512342204377E-2</v>
      </c>
      <c r="AG222" s="140">
        <f>IFERROR(_xlfn.XLOOKUP($D222,'Modelling New'!$D:$D,'Modelling New'!$AE:$AE),"")</f>
        <v>0.96029999999999993</v>
      </c>
      <c r="AH222" s="140">
        <f>IFERROR(_xlfn.XLOOKUP($D222,'Modelling New'!$D:$D,'Modelling New'!$AF:$AF),"")</f>
        <v>0.995</v>
      </c>
      <c r="AI222" s="121" t="str">
        <f>IFERROR(_xlfn.XLOOKUP($A222,Input_Raw!$A:$A,Input_Raw!$DE:$DE),"")</f>
        <v/>
      </c>
      <c r="AJ222" s="121"/>
      <c r="AK222" s="121"/>
      <c r="AL222" s="121"/>
      <c r="AM222" s="121"/>
      <c r="AN222" s="142" t="str">
        <f>IFERROR(_xlfn.XLOOKUP($A222,Input_Raw!$A:$A,Input_Raw!$DB:$DB),"")</f>
        <v/>
      </c>
      <c r="AO222" s="140" t="str">
        <f>IFERROR((_xlfn.XLOOKUP($A222,'WTG Reactive Power'!$A:$A,'WTG Reactive Power'!$AR:$AR))/X222/1000,"")</f>
        <v/>
      </c>
      <c r="AP222" s="140">
        <f>IFERROR(_xlfn.XLOOKUP($D222,'Modelling New'!$D:$D,'Modelling New'!$AK:$AK),"")</f>
        <v>0.05</v>
      </c>
      <c r="AQ222" s="140">
        <f>IFERROR(_xlfn.XLOOKUP($D222,'Modelling New'!$D:$D,'Modelling New'!$AL:$AL),"")</f>
        <v>0.05</v>
      </c>
      <c r="AR222">
        <f>IFERROR(_xlfn.XLOOKUP($D222,'Modelling New'!$D:$D,'Modelling New'!$N:$N),"")</f>
        <v>78</v>
      </c>
    </row>
    <row r="223" spans="1:44">
      <c r="A223" s="134">
        <f t="shared" si="15"/>
        <v>45966</v>
      </c>
      <c r="B223" s="123">
        <f>YEAR(Table13[[#This Row],[Date]])+IF(MONTH(Table13[[#This Row],[Date]])&gt;=4,1,0)</f>
        <v>2026</v>
      </c>
      <c r="C223" s="121">
        <f>YEAR(Table13[[#This Row],[Date]])</f>
        <v>2025</v>
      </c>
      <c r="D223" s="135">
        <f>Table13[[#This Row],[Date]]-DAY(Table13[[#This Row],[Date]])+1</f>
        <v>45962</v>
      </c>
      <c r="E223" s="121">
        <f t="shared" ref="E223:E254" si="19">DAY(EOMONTH(A223,0))</f>
        <v>30</v>
      </c>
      <c r="F223" s="124"/>
      <c r="G223" s="125"/>
      <c r="H223" s="125"/>
      <c r="I223" s="125"/>
      <c r="J223" s="125"/>
      <c r="K223" s="136"/>
      <c r="L223" s="125"/>
      <c r="M223" s="125" t="str">
        <f>IFERROR(_xlfn.XLOOKUP($A223,Input_Raw!$A:$A,Input_Raw!CG:CG),"")</f>
        <v/>
      </c>
      <c r="N223" s="125" t="str">
        <f>IFERROR(_xlfn.XLOOKUP($A223,Input_Raw!$A:$A,Input_Raw!CH:CH),"")</f>
        <v/>
      </c>
      <c r="O223" s="137" t="str">
        <f t="shared" ref="O223:O254" si="20">IFERROR(P223*Q223,"")</f>
        <v/>
      </c>
      <c r="P223" s="137" t="str">
        <f>IFERROR(1-SUMIF(WTG_BD!$F:$F,$A223,WTG_BD!$AA:$AA)/($AA223+SUMIF(WTG_BD!$F:$F,$A223,WTG_BD!$AA:$AA)),"")</f>
        <v/>
      </c>
      <c r="Q223" s="138" t="str">
        <f>IFERROR(1-SUMIF(IGA_BD!$F:$F,$A223,IGA_BD!$V:$V)/($AA223+SUMIF(IGA_BD!$F:$F,$A223,IGA_BD!$V:$V)),"")</f>
        <v/>
      </c>
      <c r="R223" s="143" t="str">
        <f>IFERROR(1-SUMIF(Grid_BD!$F:$F,$A223,Grid_BD!$X:$X)/($AA223+SUMIF(Grid_BD!$F:$F,$A223,Grid_BD!$X:$X)),"")</f>
        <v/>
      </c>
      <c r="S223" s="121"/>
      <c r="T223" s="138"/>
      <c r="U223" s="139"/>
      <c r="V223" s="121"/>
      <c r="W223" s="140" t="str">
        <f>IFERROR(Table13[[#This Row],[Mtr_Net_Exp (KWh)]]/(24*AR223*1000),"")</f>
        <v/>
      </c>
      <c r="X223" s="121" t="str">
        <f>IFERROR(_xlfn.XLOOKUP($A223,Input_Raw!$A:$A,Input_Raw!$CF:$CF),"")</f>
        <v/>
      </c>
      <c r="Y223" s="121" t="str">
        <f>IFERROR(_xlfn.XLOOKUP($A223,Input_Raw!$A:$A,Input_Raw!$CZ:$CZ),"")</f>
        <v/>
      </c>
      <c r="Z223" s="121" t="str">
        <f>IFERROR(_xlfn.XLOOKUP($A223,Input_Raw!$A:$A,Input_Raw!$DA:$DA),"")</f>
        <v/>
      </c>
      <c r="AA223" s="123" t="str">
        <f t="shared" ref="AA223:AA254" si="21">IFERROR(Y223-Z223,"")</f>
        <v/>
      </c>
      <c r="AB223" s="121" t="str">
        <f>IFERROR(_xlfn.XLOOKUP($A223,Input_Raw!$A:$A,Input_Raw!$DG:$DG),"")</f>
        <v/>
      </c>
      <c r="AC223" s="141">
        <f>IFERROR(_xlfn.XLOOKUP($D223,'Modelling New'!$D:$D,'Modelling New'!$J:$J),"")</f>
        <v>4.0333333333333332</v>
      </c>
      <c r="AD223" s="123">
        <f>IFERROR(_xlfn.XLOOKUP($D223,'Modelling New'!$D:$D,'Modelling New'!$T:$T)*1000,"")</f>
        <v>162550.46310460661</v>
      </c>
      <c r="AE223" s="140"/>
      <c r="AF223" s="140">
        <f>IFERROR(_xlfn.XLOOKUP($D223,'Modelling New'!$D:$D,'Modelling New'!$W:$W),"")</f>
        <v>8.6832512342204377E-2</v>
      </c>
      <c r="AG223" s="140">
        <f>IFERROR(_xlfn.XLOOKUP($D223,'Modelling New'!$D:$D,'Modelling New'!$AE:$AE),"")</f>
        <v>0.96029999999999993</v>
      </c>
      <c r="AH223" s="140">
        <f>IFERROR(_xlfn.XLOOKUP($D223,'Modelling New'!$D:$D,'Modelling New'!$AF:$AF),"")</f>
        <v>0.995</v>
      </c>
      <c r="AI223" s="121" t="str">
        <f>IFERROR(_xlfn.XLOOKUP($A223,Input_Raw!$A:$A,Input_Raw!$DE:$DE),"")</f>
        <v/>
      </c>
      <c r="AJ223" s="121"/>
      <c r="AK223" s="121"/>
      <c r="AL223" s="121"/>
      <c r="AM223" s="121"/>
      <c r="AN223" s="142" t="str">
        <f>IFERROR(_xlfn.XLOOKUP($A223,Input_Raw!$A:$A,Input_Raw!$DB:$DB),"")</f>
        <v/>
      </c>
      <c r="AO223" s="140" t="str">
        <f>IFERROR((_xlfn.XLOOKUP($A223,'WTG Reactive Power'!$A:$A,'WTG Reactive Power'!$AR:$AR))/X223/1000,"")</f>
        <v/>
      </c>
      <c r="AP223" s="140">
        <f>IFERROR(_xlfn.XLOOKUP($D223,'Modelling New'!$D:$D,'Modelling New'!$AK:$AK),"")</f>
        <v>0.05</v>
      </c>
      <c r="AQ223" s="140">
        <f>IFERROR(_xlfn.XLOOKUP($D223,'Modelling New'!$D:$D,'Modelling New'!$AL:$AL),"")</f>
        <v>0.05</v>
      </c>
      <c r="AR223">
        <f>IFERROR(_xlfn.XLOOKUP($D223,'Modelling New'!$D:$D,'Modelling New'!$N:$N),"")</f>
        <v>78</v>
      </c>
    </row>
    <row r="224" spans="1:44">
      <c r="A224" s="134">
        <f t="shared" si="15"/>
        <v>45967</v>
      </c>
      <c r="B224" s="123">
        <f>YEAR(Table13[[#This Row],[Date]])+IF(MONTH(Table13[[#This Row],[Date]])&gt;=4,1,0)</f>
        <v>2026</v>
      </c>
      <c r="C224" s="121">
        <f>YEAR(Table13[[#This Row],[Date]])</f>
        <v>2025</v>
      </c>
      <c r="D224" s="135">
        <f>Table13[[#This Row],[Date]]-DAY(Table13[[#This Row],[Date]])+1</f>
        <v>45962</v>
      </c>
      <c r="E224" s="121">
        <f t="shared" si="19"/>
        <v>30</v>
      </c>
      <c r="F224" s="124"/>
      <c r="G224" s="125"/>
      <c r="H224" s="125"/>
      <c r="I224" s="125"/>
      <c r="J224" s="125"/>
      <c r="K224" s="136"/>
      <c r="L224" s="125"/>
      <c r="M224" s="125" t="str">
        <f>IFERROR(_xlfn.XLOOKUP($A224,Input_Raw!$A:$A,Input_Raw!CG:CG),"")</f>
        <v/>
      </c>
      <c r="N224" s="125" t="str">
        <f>IFERROR(_xlfn.XLOOKUP($A224,Input_Raw!$A:$A,Input_Raw!CH:CH),"")</f>
        <v/>
      </c>
      <c r="O224" s="137" t="str">
        <f t="shared" si="20"/>
        <v/>
      </c>
      <c r="P224" s="137" t="str">
        <f>IFERROR(1-SUMIF(WTG_BD!$F:$F,$A224,WTG_BD!$AA:$AA)/($AA224+SUMIF(WTG_BD!$F:$F,$A224,WTG_BD!$AA:$AA)),"")</f>
        <v/>
      </c>
      <c r="Q224" s="138" t="str">
        <f>IFERROR(1-SUMIF(IGA_BD!$F:$F,$A224,IGA_BD!$V:$V)/($AA224+SUMIF(IGA_BD!$F:$F,$A224,IGA_BD!$V:$V)),"")</f>
        <v/>
      </c>
      <c r="R224" s="143" t="str">
        <f>IFERROR(1-SUMIF(Grid_BD!$F:$F,$A224,Grid_BD!$X:$X)/($AA224+SUMIF(Grid_BD!$F:$F,$A224,Grid_BD!$X:$X)),"")</f>
        <v/>
      </c>
      <c r="S224" s="121"/>
      <c r="T224" s="138"/>
      <c r="U224" s="139"/>
      <c r="V224" s="121"/>
      <c r="W224" s="140" t="str">
        <f>IFERROR(Table13[[#This Row],[Mtr_Net_Exp (KWh)]]/(24*AR224*1000),"")</f>
        <v/>
      </c>
      <c r="X224" s="121" t="str">
        <f>IFERROR(_xlfn.XLOOKUP($A224,Input_Raw!$A:$A,Input_Raw!$CF:$CF),"")</f>
        <v/>
      </c>
      <c r="Y224" s="121" t="str">
        <f>IFERROR(_xlfn.XLOOKUP($A224,Input_Raw!$A:$A,Input_Raw!$CZ:$CZ),"")</f>
        <v/>
      </c>
      <c r="Z224" s="121" t="str">
        <f>IFERROR(_xlfn.XLOOKUP($A224,Input_Raw!$A:$A,Input_Raw!$DA:$DA),"")</f>
        <v/>
      </c>
      <c r="AA224" s="123" t="str">
        <f t="shared" si="21"/>
        <v/>
      </c>
      <c r="AB224" s="121" t="str">
        <f>IFERROR(_xlfn.XLOOKUP($A224,Input_Raw!$A:$A,Input_Raw!$DG:$DG),"")</f>
        <v/>
      </c>
      <c r="AC224" s="141">
        <f>IFERROR(_xlfn.XLOOKUP($D224,'Modelling New'!$D:$D,'Modelling New'!$J:$J),"")</f>
        <v>4.0333333333333332</v>
      </c>
      <c r="AD224" s="123">
        <f>IFERROR(_xlfn.XLOOKUP($D224,'Modelling New'!$D:$D,'Modelling New'!$T:$T)*1000,"")</f>
        <v>162550.46310460661</v>
      </c>
      <c r="AE224" s="140"/>
      <c r="AF224" s="140">
        <f>IFERROR(_xlfn.XLOOKUP($D224,'Modelling New'!$D:$D,'Modelling New'!$W:$W),"")</f>
        <v>8.6832512342204377E-2</v>
      </c>
      <c r="AG224" s="140">
        <f>IFERROR(_xlfn.XLOOKUP($D224,'Modelling New'!$D:$D,'Modelling New'!$AE:$AE),"")</f>
        <v>0.96029999999999993</v>
      </c>
      <c r="AH224" s="140">
        <f>IFERROR(_xlfn.XLOOKUP($D224,'Modelling New'!$D:$D,'Modelling New'!$AF:$AF),"")</f>
        <v>0.995</v>
      </c>
      <c r="AI224" s="121" t="str">
        <f>IFERROR(_xlfn.XLOOKUP($A224,Input_Raw!$A:$A,Input_Raw!$DE:$DE),"")</f>
        <v/>
      </c>
      <c r="AJ224" s="121"/>
      <c r="AK224" s="121"/>
      <c r="AL224" s="121"/>
      <c r="AM224" s="121"/>
      <c r="AN224" s="142" t="str">
        <f>IFERROR(_xlfn.XLOOKUP($A224,Input_Raw!$A:$A,Input_Raw!$DB:$DB),"")</f>
        <v/>
      </c>
      <c r="AO224" s="140" t="str">
        <f>IFERROR((_xlfn.XLOOKUP($A224,'WTG Reactive Power'!$A:$A,'WTG Reactive Power'!$AR:$AR))/X224/1000,"")</f>
        <v/>
      </c>
      <c r="AP224" s="140">
        <f>IFERROR(_xlfn.XLOOKUP($D224,'Modelling New'!$D:$D,'Modelling New'!$AK:$AK),"")</f>
        <v>0.05</v>
      </c>
      <c r="AQ224" s="140">
        <f>IFERROR(_xlfn.XLOOKUP($D224,'Modelling New'!$D:$D,'Modelling New'!$AL:$AL),"")</f>
        <v>0.05</v>
      </c>
      <c r="AR224">
        <f>IFERROR(_xlfn.XLOOKUP($D224,'Modelling New'!$D:$D,'Modelling New'!$N:$N),"")</f>
        <v>78</v>
      </c>
    </row>
    <row r="225" spans="1:44">
      <c r="A225" s="134">
        <f t="shared" si="15"/>
        <v>45968</v>
      </c>
      <c r="B225" s="123">
        <f>YEAR(Table13[[#This Row],[Date]])+IF(MONTH(Table13[[#This Row],[Date]])&gt;=4,1,0)</f>
        <v>2026</v>
      </c>
      <c r="C225" s="121">
        <f>YEAR(Table13[[#This Row],[Date]])</f>
        <v>2025</v>
      </c>
      <c r="D225" s="135">
        <f>Table13[[#This Row],[Date]]-DAY(Table13[[#This Row],[Date]])+1</f>
        <v>45962</v>
      </c>
      <c r="E225" s="121">
        <f t="shared" si="19"/>
        <v>30</v>
      </c>
      <c r="F225" s="124"/>
      <c r="G225" s="125"/>
      <c r="H225" s="125"/>
      <c r="I225" s="125"/>
      <c r="J225" s="125"/>
      <c r="K225" s="136"/>
      <c r="L225" s="125"/>
      <c r="M225" s="125" t="str">
        <f>IFERROR(_xlfn.XLOOKUP($A225,Input_Raw!$A:$A,Input_Raw!CG:CG),"")</f>
        <v/>
      </c>
      <c r="N225" s="125" t="str">
        <f>IFERROR(_xlfn.XLOOKUP($A225,Input_Raw!$A:$A,Input_Raw!CH:CH),"")</f>
        <v/>
      </c>
      <c r="O225" s="137" t="str">
        <f t="shared" si="20"/>
        <v/>
      </c>
      <c r="P225" s="137" t="str">
        <f>IFERROR(1-SUMIF(WTG_BD!$F:$F,$A225,WTG_BD!$AA:$AA)/($AA225+SUMIF(WTG_BD!$F:$F,$A225,WTG_BD!$AA:$AA)),"")</f>
        <v/>
      </c>
      <c r="Q225" s="138" t="str">
        <f>IFERROR(1-SUMIF(IGA_BD!$F:$F,$A225,IGA_BD!$V:$V)/($AA225+SUMIF(IGA_BD!$F:$F,$A225,IGA_BD!$V:$V)),"")</f>
        <v/>
      </c>
      <c r="R225" s="143" t="str">
        <f>IFERROR(1-SUMIF(Grid_BD!$F:$F,$A225,Grid_BD!$X:$X)/($AA225+SUMIF(Grid_BD!$F:$F,$A225,Grid_BD!$X:$X)),"")</f>
        <v/>
      </c>
      <c r="S225" s="121"/>
      <c r="T225" s="138"/>
      <c r="U225" s="139"/>
      <c r="V225" s="121"/>
      <c r="W225" s="140" t="str">
        <f>IFERROR(Table13[[#This Row],[Mtr_Net_Exp (KWh)]]/(24*AR225*1000),"")</f>
        <v/>
      </c>
      <c r="X225" s="121" t="str">
        <f>IFERROR(_xlfn.XLOOKUP($A225,Input_Raw!$A:$A,Input_Raw!$CF:$CF),"")</f>
        <v/>
      </c>
      <c r="Y225" s="121" t="str">
        <f>IFERROR(_xlfn.XLOOKUP($A225,Input_Raw!$A:$A,Input_Raw!$CZ:$CZ),"")</f>
        <v/>
      </c>
      <c r="Z225" s="121" t="str">
        <f>IFERROR(_xlfn.XLOOKUP($A225,Input_Raw!$A:$A,Input_Raw!$DA:$DA),"")</f>
        <v/>
      </c>
      <c r="AA225" s="123" t="str">
        <f t="shared" si="21"/>
        <v/>
      </c>
      <c r="AB225" s="121" t="str">
        <f>IFERROR(_xlfn.XLOOKUP($A225,Input_Raw!$A:$A,Input_Raw!$DG:$DG),"")</f>
        <v/>
      </c>
      <c r="AC225" s="141">
        <f>IFERROR(_xlfn.XLOOKUP($D225,'Modelling New'!$D:$D,'Modelling New'!$J:$J),"")</f>
        <v>4.0333333333333332</v>
      </c>
      <c r="AD225" s="123">
        <f>IFERROR(_xlfn.XLOOKUP($D225,'Modelling New'!$D:$D,'Modelling New'!$T:$T)*1000,"")</f>
        <v>162550.46310460661</v>
      </c>
      <c r="AE225" s="140"/>
      <c r="AF225" s="140">
        <f>IFERROR(_xlfn.XLOOKUP($D225,'Modelling New'!$D:$D,'Modelling New'!$W:$W),"")</f>
        <v>8.6832512342204377E-2</v>
      </c>
      <c r="AG225" s="140">
        <f>IFERROR(_xlfn.XLOOKUP($D225,'Modelling New'!$D:$D,'Modelling New'!$AE:$AE),"")</f>
        <v>0.96029999999999993</v>
      </c>
      <c r="AH225" s="140">
        <f>IFERROR(_xlfn.XLOOKUP($D225,'Modelling New'!$D:$D,'Modelling New'!$AF:$AF),"")</f>
        <v>0.995</v>
      </c>
      <c r="AI225" s="121" t="str">
        <f>IFERROR(_xlfn.XLOOKUP($A225,Input_Raw!$A:$A,Input_Raw!$DE:$DE),"")</f>
        <v/>
      </c>
      <c r="AJ225" s="121"/>
      <c r="AK225" s="121"/>
      <c r="AL225" s="121"/>
      <c r="AM225" s="121"/>
      <c r="AN225" s="142" t="str">
        <f>IFERROR(_xlfn.XLOOKUP($A225,Input_Raw!$A:$A,Input_Raw!$DB:$DB),"")</f>
        <v/>
      </c>
      <c r="AO225" s="140" t="str">
        <f>IFERROR((_xlfn.XLOOKUP($A225,'WTG Reactive Power'!$A:$A,'WTG Reactive Power'!$AR:$AR))/X225/1000,"")</f>
        <v/>
      </c>
      <c r="AP225" s="140">
        <f>IFERROR(_xlfn.XLOOKUP($D225,'Modelling New'!$D:$D,'Modelling New'!$AK:$AK),"")</f>
        <v>0.05</v>
      </c>
      <c r="AQ225" s="140">
        <f>IFERROR(_xlfn.XLOOKUP($D225,'Modelling New'!$D:$D,'Modelling New'!$AL:$AL),"")</f>
        <v>0.05</v>
      </c>
      <c r="AR225">
        <f>IFERROR(_xlfn.XLOOKUP($D225,'Modelling New'!$D:$D,'Modelling New'!$N:$N),"")</f>
        <v>78</v>
      </c>
    </row>
    <row r="226" spans="1:44">
      <c r="A226" s="134">
        <f t="shared" si="15"/>
        <v>45969</v>
      </c>
      <c r="B226" s="123">
        <f>YEAR(Table13[[#This Row],[Date]])+IF(MONTH(Table13[[#This Row],[Date]])&gt;=4,1,0)</f>
        <v>2026</v>
      </c>
      <c r="C226" s="121">
        <f>YEAR(Table13[[#This Row],[Date]])</f>
        <v>2025</v>
      </c>
      <c r="D226" s="135">
        <f>Table13[[#This Row],[Date]]-DAY(Table13[[#This Row],[Date]])+1</f>
        <v>45962</v>
      </c>
      <c r="E226" s="121">
        <f t="shared" si="19"/>
        <v>30</v>
      </c>
      <c r="F226" s="124"/>
      <c r="G226" s="125"/>
      <c r="H226" s="125"/>
      <c r="I226" s="125"/>
      <c r="J226" s="125"/>
      <c r="K226" s="136"/>
      <c r="L226" s="125"/>
      <c r="M226" s="125" t="str">
        <f>IFERROR(_xlfn.XLOOKUP($A226,Input_Raw!$A:$A,Input_Raw!CG:CG),"")</f>
        <v/>
      </c>
      <c r="N226" s="125" t="str">
        <f>IFERROR(_xlfn.XLOOKUP($A226,Input_Raw!$A:$A,Input_Raw!CH:CH),"")</f>
        <v/>
      </c>
      <c r="O226" s="137" t="str">
        <f t="shared" si="20"/>
        <v/>
      </c>
      <c r="P226" s="137" t="str">
        <f>IFERROR(1-SUMIF(WTG_BD!$F:$F,$A226,WTG_BD!$AA:$AA)/($AA226+SUMIF(WTG_BD!$F:$F,$A226,WTG_BD!$AA:$AA)),"")</f>
        <v/>
      </c>
      <c r="Q226" s="138" t="str">
        <f>IFERROR(1-SUMIF(IGA_BD!$F:$F,$A226,IGA_BD!$V:$V)/($AA226+SUMIF(IGA_BD!$F:$F,$A226,IGA_BD!$V:$V)),"")</f>
        <v/>
      </c>
      <c r="R226" s="143" t="str">
        <f>IFERROR(1-SUMIF(Grid_BD!$F:$F,$A226,Grid_BD!$X:$X)/($AA226+SUMIF(Grid_BD!$F:$F,$A226,Grid_BD!$X:$X)),"")</f>
        <v/>
      </c>
      <c r="S226" s="121"/>
      <c r="T226" s="138"/>
      <c r="U226" s="139"/>
      <c r="V226" s="121"/>
      <c r="W226" s="140" t="str">
        <f>IFERROR(Table13[[#This Row],[Mtr_Net_Exp (KWh)]]/(24*AR226*1000),"")</f>
        <v/>
      </c>
      <c r="X226" s="121" t="str">
        <f>IFERROR(_xlfn.XLOOKUP($A226,Input_Raw!$A:$A,Input_Raw!$CF:$CF),"")</f>
        <v/>
      </c>
      <c r="Y226" s="121" t="str">
        <f>IFERROR(_xlfn.XLOOKUP($A226,Input_Raw!$A:$A,Input_Raw!$CZ:$CZ),"")</f>
        <v/>
      </c>
      <c r="Z226" s="121" t="str">
        <f>IFERROR(_xlfn.XLOOKUP($A226,Input_Raw!$A:$A,Input_Raw!$DA:$DA),"")</f>
        <v/>
      </c>
      <c r="AA226" s="123" t="str">
        <f t="shared" si="21"/>
        <v/>
      </c>
      <c r="AB226" s="121" t="str">
        <f>IFERROR(_xlfn.XLOOKUP($A226,Input_Raw!$A:$A,Input_Raw!$DG:$DG),"")</f>
        <v/>
      </c>
      <c r="AC226" s="141">
        <f>IFERROR(_xlfn.XLOOKUP($D226,'Modelling New'!$D:$D,'Modelling New'!$J:$J),"")</f>
        <v>4.0333333333333332</v>
      </c>
      <c r="AD226" s="123">
        <f>IFERROR(_xlfn.XLOOKUP($D226,'Modelling New'!$D:$D,'Modelling New'!$T:$T)*1000,"")</f>
        <v>162550.46310460661</v>
      </c>
      <c r="AE226" s="140"/>
      <c r="AF226" s="140">
        <f>IFERROR(_xlfn.XLOOKUP($D226,'Modelling New'!$D:$D,'Modelling New'!$W:$W),"")</f>
        <v>8.6832512342204377E-2</v>
      </c>
      <c r="AG226" s="140">
        <f>IFERROR(_xlfn.XLOOKUP($D226,'Modelling New'!$D:$D,'Modelling New'!$AE:$AE),"")</f>
        <v>0.96029999999999993</v>
      </c>
      <c r="AH226" s="140">
        <f>IFERROR(_xlfn.XLOOKUP($D226,'Modelling New'!$D:$D,'Modelling New'!$AF:$AF),"")</f>
        <v>0.995</v>
      </c>
      <c r="AI226" s="121" t="str">
        <f>IFERROR(_xlfn.XLOOKUP($A226,Input_Raw!$A:$A,Input_Raw!$DE:$DE),"")</f>
        <v/>
      </c>
      <c r="AJ226" s="121"/>
      <c r="AK226" s="121"/>
      <c r="AL226" s="121"/>
      <c r="AM226" s="121"/>
      <c r="AN226" s="142" t="str">
        <f>IFERROR(_xlfn.XLOOKUP($A226,Input_Raw!$A:$A,Input_Raw!$DB:$DB),"")</f>
        <v/>
      </c>
      <c r="AO226" s="140" t="str">
        <f>IFERROR((_xlfn.XLOOKUP($A226,'WTG Reactive Power'!$A:$A,'WTG Reactive Power'!$AR:$AR))/X226/1000,"")</f>
        <v/>
      </c>
      <c r="AP226" s="140">
        <f>IFERROR(_xlfn.XLOOKUP($D226,'Modelling New'!$D:$D,'Modelling New'!$AK:$AK),"")</f>
        <v>0.05</v>
      </c>
      <c r="AQ226" s="140">
        <f>IFERROR(_xlfn.XLOOKUP($D226,'Modelling New'!$D:$D,'Modelling New'!$AL:$AL),"")</f>
        <v>0.05</v>
      </c>
      <c r="AR226">
        <f>IFERROR(_xlfn.XLOOKUP($D226,'Modelling New'!$D:$D,'Modelling New'!$N:$N),"")</f>
        <v>78</v>
      </c>
    </row>
    <row r="227" spans="1:44">
      <c r="A227" s="134">
        <f t="shared" si="15"/>
        <v>45970</v>
      </c>
      <c r="B227" s="123">
        <f>YEAR(Table13[[#This Row],[Date]])+IF(MONTH(Table13[[#This Row],[Date]])&gt;=4,1,0)</f>
        <v>2026</v>
      </c>
      <c r="C227" s="121">
        <f>YEAR(Table13[[#This Row],[Date]])</f>
        <v>2025</v>
      </c>
      <c r="D227" s="135">
        <f>Table13[[#This Row],[Date]]-DAY(Table13[[#This Row],[Date]])+1</f>
        <v>45962</v>
      </c>
      <c r="E227" s="121">
        <f t="shared" si="19"/>
        <v>30</v>
      </c>
      <c r="F227" s="124"/>
      <c r="G227" s="125"/>
      <c r="H227" s="125"/>
      <c r="I227" s="125"/>
      <c r="J227" s="125"/>
      <c r="K227" s="136"/>
      <c r="L227" s="125"/>
      <c r="M227" s="125" t="str">
        <f>IFERROR(_xlfn.XLOOKUP($A227,Input_Raw!$A:$A,Input_Raw!CG:CG),"")</f>
        <v/>
      </c>
      <c r="N227" s="125" t="str">
        <f>IFERROR(_xlfn.XLOOKUP($A227,Input_Raw!$A:$A,Input_Raw!CH:CH),"")</f>
        <v/>
      </c>
      <c r="O227" s="137" t="str">
        <f t="shared" si="20"/>
        <v/>
      </c>
      <c r="P227" s="137" t="str">
        <f>IFERROR(1-SUMIF(WTG_BD!$F:$F,$A227,WTG_BD!$AA:$AA)/($AA227+SUMIF(WTG_BD!$F:$F,$A227,WTG_BD!$AA:$AA)),"")</f>
        <v/>
      </c>
      <c r="Q227" s="138" t="str">
        <f>IFERROR(1-SUMIF(IGA_BD!$F:$F,$A227,IGA_BD!$V:$V)/($AA227+SUMIF(IGA_BD!$F:$F,$A227,IGA_BD!$V:$V)),"")</f>
        <v/>
      </c>
      <c r="R227" s="143" t="str">
        <f>IFERROR(1-SUMIF(Grid_BD!$F:$F,$A227,Grid_BD!$X:$X)/($AA227+SUMIF(Grid_BD!$F:$F,$A227,Grid_BD!$X:$X)),"")</f>
        <v/>
      </c>
      <c r="S227" s="121"/>
      <c r="T227" s="138"/>
      <c r="U227" s="139"/>
      <c r="V227" s="121"/>
      <c r="W227" s="140" t="str">
        <f>IFERROR(Table13[[#This Row],[Mtr_Net_Exp (KWh)]]/(24*AR227*1000),"")</f>
        <v/>
      </c>
      <c r="X227" s="121" t="str">
        <f>IFERROR(_xlfn.XLOOKUP($A227,Input_Raw!$A:$A,Input_Raw!$CF:$CF),"")</f>
        <v/>
      </c>
      <c r="Y227" s="121" t="str">
        <f>IFERROR(_xlfn.XLOOKUP($A227,Input_Raw!$A:$A,Input_Raw!$CZ:$CZ),"")</f>
        <v/>
      </c>
      <c r="Z227" s="121" t="str">
        <f>IFERROR(_xlfn.XLOOKUP($A227,Input_Raw!$A:$A,Input_Raw!$DA:$DA),"")</f>
        <v/>
      </c>
      <c r="AA227" s="123" t="str">
        <f t="shared" si="21"/>
        <v/>
      </c>
      <c r="AB227" s="121" t="str">
        <f>IFERROR(_xlfn.XLOOKUP($A227,Input_Raw!$A:$A,Input_Raw!$DG:$DG),"")</f>
        <v/>
      </c>
      <c r="AC227" s="141">
        <f>IFERROR(_xlfn.XLOOKUP($D227,'Modelling New'!$D:$D,'Modelling New'!$J:$J),"")</f>
        <v>4.0333333333333332</v>
      </c>
      <c r="AD227" s="123">
        <f>IFERROR(_xlfn.XLOOKUP($D227,'Modelling New'!$D:$D,'Modelling New'!$T:$T)*1000,"")</f>
        <v>162550.46310460661</v>
      </c>
      <c r="AE227" s="140"/>
      <c r="AF227" s="140">
        <f>IFERROR(_xlfn.XLOOKUP($D227,'Modelling New'!$D:$D,'Modelling New'!$W:$W),"")</f>
        <v>8.6832512342204377E-2</v>
      </c>
      <c r="AG227" s="140">
        <f>IFERROR(_xlfn.XLOOKUP($D227,'Modelling New'!$D:$D,'Modelling New'!$AE:$AE),"")</f>
        <v>0.96029999999999993</v>
      </c>
      <c r="AH227" s="140">
        <f>IFERROR(_xlfn.XLOOKUP($D227,'Modelling New'!$D:$D,'Modelling New'!$AF:$AF),"")</f>
        <v>0.995</v>
      </c>
      <c r="AI227" s="121" t="str">
        <f>IFERROR(_xlfn.XLOOKUP($A227,Input_Raw!$A:$A,Input_Raw!$DE:$DE),"")</f>
        <v/>
      </c>
      <c r="AJ227" s="121"/>
      <c r="AK227" s="121"/>
      <c r="AL227" s="121"/>
      <c r="AM227" s="121"/>
      <c r="AN227" s="142" t="str">
        <f>IFERROR(_xlfn.XLOOKUP($A227,Input_Raw!$A:$A,Input_Raw!$DB:$DB),"")</f>
        <v/>
      </c>
      <c r="AO227" s="140" t="str">
        <f>IFERROR((_xlfn.XLOOKUP($A227,'WTG Reactive Power'!$A:$A,'WTG Reactive Power'!$AR:$AR))/X227/1000,"")</f>
        <v/>
      </c>
      <c r="AP227" s="140">
        <f>IFERROR(_xlfn.XLOOKUP($D227,'Modelling New'!$D:$D,'Modelling New'!$AK:$AK),"")</f>
        <v>0.05</v>
      </c>
      <c r="AQ227" s="140">
        <f>IFERROR(_xlfn.XLOOKUP($D227,'Modelling New'!$D:$D,'Modelling New'!$AL:$AL),"")</f>
        <v>0.05</v>
      </c>
      <c r="AR227">
        <f>IFERROR(_xlfn.XLOOKUP($D227,'Modelling New'!$D:$D,'Modelling New'!$N:$N),"")</f>
        <v>78</v>
      </c>
    </row>
    <row r="228" spans="1:44">
      <c r="A228" s="134">
        <f t="shared" si="15"/>
        <v>45971</v>
      </c>
      <c r="B228" s="123">
        <f>YEAR(Table13[[#This Row],[Date]])+IF(MONTH(Table13[[#This Row],[Date]])&gt;=4,1,0)</f>
        <v>2026</v>
      </c>
      <c r="C228" s="121">
        <f>YEAR(Table13[[#This Row],[Date]])</f>
        <v>2025</v>
      </c>
      <c r="D228" s="135">
        <f>Table13[[#This Row],[Date]]-DAY(Table13[[#This Row],[Date]])+1</f>
        <v>45962</v>
      </c>
      <c r="E228" s="121">
        <f t="shared" si="19"/>
        <v>30</v>
      </c>
      <c r="F228" s="124"/>
      <c r="G228" s="125"/>
      <c r="H228" s="125"/>
      <c r="I228" s="125"/>
      <c r="J228" s="125"/>
      <c r="K228" s="136"/>
      <c r="L228" s="125"/>
      <c r="M228" s="125" t="str">
        <f>IFERROR(_xlfn.XLOOKUP($A228,Input_Raw!$A:$A,Input_Raw!CG:CG),"")</f>
        <v/>
      </c>
      <c r="N228" s="125" t="str">
        <f>IFERROR(_xlfn.XLOOKUP($A228,Input_Raw!$A:$A,Input_Raw!CH:CH),"")</f>
        <v/>
      </c>
      <c r="O228" s="137" t="str">
        <f t="shared" si="20"/>
        <v/>
      </c>
      <c r="P228" s="137" t="str">
        <f>IFERROR(1-SUMIF(WTG_BD!$F:$F,$A228,WTG_BD!$AA:$AA)/($AA228+SUMIF(WTG_BD!$F:$F,$A228,WTG_BD!$AA:$AA)),"")</f>
        <v/>
      </c>
      <c r="Q228" s="138" t="str">
        <f>IFERROR(1-SUMIF(IGA_BD!$F:$F,$A228,IGA_BD!$V:$V)/($AA228+SUMIF(IGA_BD!$F:$F,$A228,IGA_BD!$V:$V)),"")</f>
        <v/>
      </c>
      <c r="R228" s="143" t="str">
        <f>IFERROR(1-SUMIF(Grid_BD!$F:$F,$A228,Grid_BD!$X:$X)/($AA228+SUMIF(Grid_BD!$F:$F,$A228,Grid_BD!$X:$X)),"")</f>
        <v/>
      </c>
      <c r="S228" s="121"/>
      <c r="T228" s="138"/>
      <c r="U228" s="139"/>
      <c r="V228" s="121"/>
      <c r="W228" s="140" t="str">
        <f>IFERROR(Table13[[#This Row],[Mtr_Net_Exp (KWh)]]/(24*AR228*1000),"")</f>
        <v/>
      </c>
      <c r="X228" s="121" t="str">
        <f>IFERROR(_xlfn.XLOOKUP($A228,Input_Raw!$A:$A,Input_Raw!$CF:$CF),"")</f>
        <v/>
      </c>
      <c r="Y228" s="121" t="str">
        <f>IFERROR(_xlfn.XLOOKUP($A228,Input_Raw!$A:$A,Input_Raw!$CZ:$CZ),"")</f>
        <v/>
      </c>
      <c r="Z228" s="121" t="str">
        <f>IFERROR(_xlfn.XLOOKUP($A228,Input_Raw!$A:$A,Input_Raw!$DA:$DA),"")</f>
        <v/>
      </c>
      <c r="AA228" s="123" t="str">
        <f t="shared" si="21"/>
        <v/>
      </c>
      <c r="AB228" s="121" t="str">
        <f>IFERROR(_xlfn.XLOOKUP($A228,Input_Raw!$A:$A,Input_Raw!$DG:$DG),"")</f>
        <v/>
      </c>
      <c r="AC228" s="141">
        <f>IFERROR(_xlfn.XLOOKUP($D228,'Modelling New'!$D:$D,'Modelling New'!$J:$J),"")</f>
        <v>4.0333333333333332</v>
      </c>
      <c r="AD228" s="123">
        <f>IFERROR(_xlfn.XLOOKUP($D228,'Modelling New'!$D:$D,'Modelling New'!$T:$T)*1000,"")</f>
        <v>162550.46310460661</v>
      </c>
      <c r="AE228" s="140"/>
      <c r="AF228" s="140">
        <f>IFERROR(_xlfn.XLOOKUP($D228,'Modelling New'!$D:$D,'Modelling New'!$W:$W),"")</f>
        <v>8.6832512342204377E-2</v>
      </c>
      <c r="AG228" s="140">
        <f>IFERROR(_xlfn.XLOOKUP($D228,'Modelling New'!$D:$D,'Modelling New'!$AE:$AE),"")</f>
        <v>0.96029999999999993</v>
      </c>
      <c r="AH228" s="140">
        <f>IFERROR(_xlfn.XLOOKUP($D228,'Modelling New'!$D:$D,'Modelling New'!$AF:$AF),"")</f>
        <v>0.995</v>
      </c>
      <c r="AI228" s="121" t="str">
        <f>IFERROR(_xlfn.XLOOKUP($A228,Input_Raw!$A:$A,Input_Raw!$DE:$DE),"")</f>
        <v/>
      </c>
      <c r="AJ228" s="121"/>
      <c r="AK228" s="121"/>
      <c r="AL228" s="121"/>
      <c r="AM228" s="121"/>
      <c r="AN228" s="142" t="str">
        <f>IFERROR(_xlfn.XLOOKUP($A228,Input_Raw!$A:$A,Input_Raw!$DB:$DB),"")</f>
        <v/>
      </c>
      <c r="AO228" s="140" t="str">
        <f>IFERROR((_xlfn.XLOOKUP($A228,'WTG Reactive Power'!$A:$A,'WTG Reactive Power'!$AR:$AR))/X228/1000,"")</f>
        <v/>
      </c>
      <c r="AP228" s="140">
        <f>IFERROR(_xlfn.XLOOKUP($D228,'Modelling New'!$D:$D,'Modelling New'!$AK:$AK),"")</f>
        <v>0.05</v>
      </c>
      <c r="AQ228" s="140">
        <f>IFERROR(_xlfn.XLOOKUP($D228,'Modelling New'!$D:$D,'Modelling New'!$AL:$AL),"")</f>
        <v>0.05</v>
      </c>
      <c r="AR228">
        <f>IFERROR(_xlfn.XLOOKUP($D228,'Modelling New'!$D:$D,'Modelling New'!$N:$N),"")</f>
        <v>78</v>
      </c>
    </row>
    <row r="229" spans="1:44">
      <c r="A229" s="134">
        <f t="shared" si="15"/>
        <v>45972</v>
      </c>
      <c r="B229" s="123">
        <f>YEAR(Table13[[#This Row],[Date]])+IF(MONTH(Table13[[#This Row],[Date]])&gt;=4,1,0)</f>
        <v>2026</v>
      </c>
      <c r="C229" s="121">
        <f>YEAR(Table13[[#This Row],[Date]])</f>
        <v>2025</v>
      </c>
      <c r="D229" s="135">
        <f>Table13[[#This Row],[Date]]-DAY(Table13[[#This Row],[Date]])+1</f>
        <v>45962</v>
      </c>
      <c r="E229" s="121">
        <f t="shared" si="19"/>
        <v>30</v>
      </c>
      <c r="F229" s="124"/>
      <c r="G229" s="125"/>
      <c r="H229" s="125"/>
      <c r="I229" s="125"/>
      <c r="J229" s="125"/>
      <c r="K229" s="136"/>
      <c r="L229" s="125"/>
      <c r="M229" s="125" t="str">
        <f>IFERROR(_xlfn.XLOOKUP($A229,Input_Raw!$A:$A,Input_Raw!CG:CG),"")</f>
        <v/>
      </c>
      <c r="N229" s="125" t="str">
        <f>IFERROR(_xlfn.XLOOKUP($A229,Input_Raw!$A:$A,Input_Raw!CH:CH),"")</f>
        <v/>
      </c>
      <c r="O229" s="137" t="str">
        <f t="shared" si="20"/>
        <v/>
      </c>
      <c r="P229" s="137" t="str">
        <f>IFERROR(1-SUMIF(WTG_BD!$F:$F,$A229,WTG_BD!$AA:$AA)/($AA229+SUMIF(WTG_BD!$F:$F,$A229,WTG_BD!$AA:$AA)),"")</f>
        <v/>
      </c>
      <c r="Q229" s="138" t="str">
        <f>IFERROR(1-SUMIF(IGA_BD!$F:$F,$A229,IGA_BD!$V:$V)/($AA229+SUMIF(IGA_BD!$F:$F,$A229,IGA_BD!$V:$V)),"")</f>
        <v/>
      </c>
      <c r="R229" s="143" t="str">
        <f>IFERROR(1-SUMIF(Grid_BD!$F:$F,$A229,Grid_BD!$X:$X)/($AA229+SUMIF(Grid_BD!$F:$F,$A229,Grid_BD!$X:$X)),"")</f>
        <v/>
      </c>
      <c r="S229" s="121"/>
      <c r="T229" s="138"/>
      <c r="U229" s="139"/>
      <c r="V229" s="121"/>
      <c r="W229" s="140" t="str">
        <f>IFERROR(Table13[[#This Row],[Mtr_Net_Exp (KWh)]]/(24*AR229*1000),"")</f>
        <v/>
      </c>
      <c r="X229" s="121" t="str">
        <f>IFERROR(_xlfn.XLOOKUP($A229,Input_Raw!$A:$A,Input_Raw!$CF:$CF),"")</f>
        <v/>
      </c>
      <c r="Y229" s="121" t="str">
        <f>IFERROR(_xlfn.XLOOKUP($A229,Input_Raw!$A:$A,Input_Raw!$CZ:$CZ),"")</f>
        <v/>
      </c>
      <c r="Z229" s="121" t="str">
        <f>IFERROR(_xlfn.XLOOKUP($A229,Input_Raw!$A:$A,Input_Raw!$DA:$DA),"")</f>
        <v/>
      </c>
      <c r="AA229" s="123" t="str">
        <f t="shared" si="21"/>
        <v/>
      </c>
      <c r="AB229" s="121" t="str">
        <f>IFERROR(_xlfn.XLOOKUP($A229,Input_Raw!$A:$A,Input_Raw!$DG:$DG),"")</f>
        <v/>
      </c>
      <c r="AC229" s="141">
        <f>IFERROR(_xlfn.XLOOKUP($D229,'Modelling New'!$D:$D,'Modelling New'!$J:$J),"")</f>
        <v>4.0333333333333332</v>
      </c>
      <c r="AD229" s="123">
        <f>IFERROR(_xlfn.XLOOKUP($D229,'Modelling New'!$D:$D,'Modelling New'!$T:$T)*1000,"")</f>
        <v>162550.46310460661</v>
      </c>
      <c r="AE229" s="140"/>
      <c r="AF229" s="140">
        <f>IFERROR(_xlfn.XLOOKUP($D229,'Modelling New'!$D:$D,'Modelling New'!$W:$W),"")</f>
        <v>8.6832512342204377E-2</v>
      </c>
      <c r="AG229" s="140">
        <f>IFERROR(_xlfn.XLOOKUP($D229,'Modelling New'!$D:$D,'Modelling New'!$AE:$AE),"")</f>
        <v>0.96029999999999993</v>
      </c>
      <c r="AH229" s="140">
        <f>IFERROR(_xlfn.XLOOKUP($D229,'Modelling New'!$D:$D,'Modelling New'!$AF:$AF),"")</f>
        <v>0.995</v>
      </c>
      <c r="AI229" s="121" t="str">
        <f>IFERROR(_xlfn.XLOOKUP($A229,Input_Raw!$A:$A,Input_Raw!$DE:$DE),"")</f>
        <v/>
      </c>
      <c r="AJ229" s="121"/>
      <c r="AK229" s="121"/>
      <c r="AL229" s="121"/>
      <c r="AM229" s="121"/>
      <c r="AN229" s="142" t="str">
        <f>IFERROR(_xlfn.XLOOKUP($A229,Input_Raw!$A:$A,Input_Raw!$DB:$DB),"")</f>
        <v/>
      </c>
      <c r="AO229" s="140" t="str">
        <f>IFERROR((_xlfn.XLOOKUP($A229,'WTG Reactive Power'!$A:$A,'WTG Reactive Power'!$AR:$AR))/X229/1000,"")</f>
        <v/>
      </c>
      <c r="AP229" s="140">
        <f>IFERROR(_xlfn.XLOOKUP($D229,'Modelling New'!$D:$D,'Modelling New'!$AK:$AK),"")</f>
        <v>0.05</v>
      </c>
      <c r="AQ229" s="140">
        <f>IFERROR(_xlfn.XLOOKUP($D229,'Modelling New'!$D:$D,'Modelling New'!$AL:$AL),"")</f>
        <v>0.05</v>
      </c>
      <c r="AR229">
        <f>IFERROR(_xlfn.XLOOKUP($D229,'Modelling New'!$D:$D,'Modelling New'!$N:$N),"")</f>
        <v>78</v>
      </c>
    </row>
    <row r="230" spans="1:44">
      <c r="A230" s="134">
        <f t="shared" ref="A230:A293" si="22">A229+1</f>
        <v>45973</v>
      </c>
      <c r="B230" s="123">
        <f>YEAR(Table13[[#This Row],[Date]])+IF(MONTH(Table13[[#This Row],[Date]])&gt;=4,1,0)</f>
        <v>2026</v>
      </c>
      <c r="C230" s="121">
        <f>YEAR(Table13[[#This Row],[Date]])</f>
        <v>2025</v>
      </c>
      <c r="D230" s="135">
        <f>Table13[[#This Row],[Date]]-DAY(Table13[[#This Row],[Date]])+1</f>
        <v>45962</v>
      </c>
      <c r="E230" s="121">
        <f t="shared" si="19"/>
        <v>30</v>
      </c>
      <c r="F230" s="124"/>
      <c r="G230" s="125"/>
      <c r="H230" s="125"/>
      <c r="I230" s="125"/>
      <c r="J230" s="125"/>
      <c r="K230" s="136"/>
      <c r="L230" s="125"/>
      <c r="M230" s="125" t="str">
        <f>IFERROR(_xlfn.XLOOKUP($A230,Input_Raw!$A:$A,Input_Raw!CG:CG),"")</f>
        <v/>
      </c>
      <c r="N230" s="125" t="str">
        <f>IFERROR(_xlfn.XLOOKUP($A230,Input_Raw!$A:$A,Input_Raw!CH:CH),"")</f>
        <v/>
      </c>
      <c r="O230" s="137" t="str">
        <f t="shared" si="20"/>
        <v/>
      </c>
      <c r="P230" s="137" t="str">
        <f>IFERROR(1-SUMIF(WTG_BD!$F:$F,$A230,WTG_BD!$AA:$AA)/($AA230+SUMIF(WTG_BD!$F:$F,$A230,WTG_BD!$AA:$AA)),"")</f>
        <v/>
      </c>
      <c r="Q230" s="138" t="str">
        <f>IFERROR(1-SUMIF(IGA_BD!$F:$F,$A230,IGA_BD!$V:$V)/($AA230+SUMIF(IGA_BD!$F:$F,$A230,IGA_BD!$V:$V)),"")</f>
        <v/>
      </c>
      <c r="R230" s="143" t="str">
        <f>IFERROR(1-SUMIF(Grid_BD!$F:$F,$A230,Grid_BD!$X:$X)/($AA230+SUMIF(Grid_BD!$F:$F,$A230,Grid_BD!$X:$X)),"")</f>
        <v/>
      </c>
      <c r="S230" s="121"/>
      <c r="T230" s="138"/>
      <c r="U230" s="139"/>
      <c r="V230" s="121"/>
      <c r="W230" s="140" t="str">
        <f>IFERROR(Table13[[#This Row],[Mtr_Net_Exp (KWh)]]/(24*AR230*1000),"")</f>
        <v/>
      </c>
      <c r="X230" s="121" t="str">
        <f>IFERROR(_xlfn.XLOOKUP($A230,Input_Raw!$A:$A,Input_Raw!$CF:$CF),"")</f>
        <v/>
      </c>
      <c r="Y230" s="121" t="str">
        <f>IFERROR(_xlfn.XLOOKUP($A230,Input_Raw!$A:$A,Input_Raw!$CZ:$CZ),"")</f>
        <v/>
      </c>
      <c r="Z230" s="121" t="str">
        <f>IFERROR(_xlfn.XLOOKUP($A230,Input_Raw!$A:$A,Input_Raw!$DA:$DA),"")</f>
        <v/>
      </c>
      <c r="AA230" s="123" t="str">
        <f t="shared" si="21"/>
        <v/>
      </c>
      <c r="AB230" s="121" t="str">
        <f>IFERROR(_xlfn.XLOOKUP($A230,Input_Raw!$A:$A,Input_Raw!$DG:$DG),"")</f>
        <v/>
      </c>
      <c r="AC230" s="141">
        <f>IFERROR(_xlfn.XLOOKUP($D230,'Modelling New'!$D:$D,'Modelling New'!$J:$J),"")</f>
        <v>4.0333333333333332</v>
      </c>
      <c r="AD230" s="123">
        <f>IFERROR(_xlfn.XLOOKUP($D230,'Modelling New'!$D:$D,'Modelling New'!$T:$T)*1000,"")</f>
        <v>162550.46310460661</v>
      </c>
      <c r="AE230" s="140"/>
      <c r="AF230" s="140">
        <f>IFERROR(_xlfn.XLOOKUP($D230,'Modelling New'!$D:$D,'Modelling New'!$W:$W),"")</f>
        <v>8.6832512342204377E-2</v>
      </c>
      <c r="AG230" s="140">
        <f>IFERROR(_xlfn.XLOOKUP($D230,'Modelling New'!$D:$D,'Modelling New'!$AE:$AE),"")</f>
        <v>0.96029999999999993</v>
      </c>
      <c r="AH230" s="140">
        <f>IFERROR(_xlfn.XLOOKUP($D230,'Modelling New'!$D:$D,'Modelling New'!$AF:$AF),"")</f>
        <v>0.995</v>
      </c>
      <c r="AI230" s="121" t="str">
        <f>IFERROR(_xlfn.XLOOKUP($A230,Input_Raw!$A:$A,Input_Raw!$DE:$DE),"")</f>
        <v/>
      </c>
      <c r="AJ230" s="121"/>
      <c r="AK230" s="121"/>
      <c r="AL230" s="121"/>
      <c r="AM230" s="121"/>
      <c r="AN230" s="142" t="str">
        <f>IFERROR(_xlfn.XLOOKUP($A230,Input_Raw!$A:$A,Input_Raw!$DB:$DB),"")</f>
        <v/>
      </c>
      <c r="AO230" s="140" t="str">
        <f>IFERROR((_xlfn.XLOOKUP($A230,'WTG Reactive Power'!$A:$A,'WTG Reactive Power'!$AR:$AR))/X230/1000,"")</f>
        <v/>
      </c>
      <c r="AP230" s="140">
        <f>IFERROR(_xlfn.XLOOKUP($D230,'Modelling New'!$D:$D,'Modelling New'!$AK:$AK),"")</f>
        <v>0.05</v>
      </c>
      <c r="AQ230" s="140">
        <f>IFERROR(_xlfn.XLOOKUP($D230,'Modelling New'!$D:$D,'Modelling New'!$AL:$AL),"")</f>
        <v>0.05</v>
      </c>
      <c r="AR230">
        <f>IFERROR(_xlfn.XLOOKUP($D230,'Modelling New'!$D:$D,'Modelling New'!$N:$N),"")</f>
        <v>78</v>
      </c>
    </row>
    <row r="231" spans="1:44">
      <c r="A231" s="134">
        <f t="shared" si="22"/>
        <v>45974</v>
      </c>
      <c r="B231" s="123">
        <f>YEAR(Table13[[#This Row],[Date]])+IF(MONTH(Table13[[#This Row],[Date]])&gt;=4,1,0)</f>
        <v>2026</v>
      </c>
      <c r="C231" s="121">
        <f>YEAR(Table13[[#This Row],[Date]])</f>
        <v>2025</v>
      </c>
      <c r="D231" s="135">
        <f>Table13[[#This Row],[Date]]-DAY(Table13[[#This Row],[Date]])+1</f>
        <v>45962</v>
      </c>
      <c r="E231" s="121">
        <f t="shared" si="19"/>
        <v>30</v>
      </c>
      <c r="F231" s="124"/>
      <c r="G231" s="125"/>
      <c r="H231" s="125"/>
      <c r="I231" s="125"/>
      <c r="J231" s="125"/>
      <c r="K231" s="136"/>
      <c r="L231" s="125"/>
      <c r="M231" s="125" t="str">
        <f>IFERROR(_xlfn.XLOOKUP($A231,Input_Raw!$A:$A,Input_Raw!CG:CG),"")</f>
        <v/>
      </c>
      <c r="N231" s="125" t="str">
        <f>IFERROR(_xlfn.XLOOKUP($A231,Input_Raw!$A:$A,Input_Raw!CH:CH),"")</f>
        <v/>
      </c>
      <c r="O231" s="137" t="str">
        <f t="shared" si="20"/>
        <v/>
      </c>
      <c r="P231" s="137" t="str">
        <f>IFERROR(1-SUMIF(WTG_BD!$F:$F,$A231,WTG_BD!$AA:$AA)/($AA231+SUMIF(WTG_BD!$F:$F,$A231,WTG_BD!$AA:$AA)),"")</f>
        <v/>
      </c>
      <c r="Q231" s="138" t="str">
        <f>IFERROR(1-SUMIF(IGA_BD!$F:$F,$A231,IGA_BD!$V:$V)/($AA231+SUMIF(IGA_BD!$F:$F,$A231,IGA_BD!$V:$V)),"")</f>
        <v/>
      </c>
      <c r="R231" s="143" t="str">
        <f>IFERROR(1-SUMIF(Grid_BD!$F:$F,$A231,Grid_BD!$X:$X)/($AA231+SUMIF(Grid_BD!$F:$F,$A231,Grid_BD!$X:$X)),"")</f>
        <v/>
      </c>
      <c r="S231" s="121"/>
      <c r="T231" s="138"/>
      <c r="U231" s="139"/>
      <c r="V231" s="121"/>
      <c r="W231" s="140" t="str">
        <f>IFERROR(Table13[[#This Row],[Mtr_Net_Exp (KWh)]]/(24*AR231*1000),"")</f>
        <v/>
      </c>
      <c r="X231" s="121" t="str">
        <f>IFERROR(_xlfn.XLOOKUP($A231,Input_Raw!$A:$A,Input_Raw!$CF:$CF),"")</f>
        <v/>
      </c>
      <c r="Y231" s="121" t="str">
        <f>IFERROR(_xlfn.XLOOKUP($A231,Input_Raw!$A:$A,Input_Raw!$CZ:$CZ),"")</f>
        <v/>
      </c>
      <c r="Z231" s="121" t="str">
        <f>IFERROR(_xlfn.XLOOKUP($A231,Input_Raw!$A:$A,Input_Raw!$DA:$DA),"")</f>
        <v/>
      </c>
      <c r="AA231" s="123" t="str">
        <f t="shared" si="21"/>
        <v/>
      </c>
      <c r="AB231" s="121" t="str">
        <f>IFERROR(_xlfn.XLOOKUP($A231,Input_Raw!$A:$A,Input_Raw!$DG:$DG),"")</f>
        <v/>
      </c>
      <c r="AC231" s="141">
        <f>IFERROR(_xlfn.XLOOKUP($D231,'Modelling New'!$D:$D,'Modelling New'!$J:$J),"")</f>
        <v>4.0333333333333332</v>
      </c>
      <c r="AD231" s="123">
        <f>IFERROR(_xlfn.XLOOKUP($D231,'Modelling New'!$D:$D,'Modelling New'!$T:$T)*1000,"")</f>
        <v>162550.46310460661</v>
      </c>
      <c r="AE231" s="140"/>
      <c r="AF231" s="140">
        <f>IFERROR(_xlfn.XLOOKUP($D231,'Modelling New'!$D:$D,'Modelling New'!$W:$W),"")</f>
        <v>8.6832512342204377E-2</v>
      </c>
      <c r="AG231" s="140">
        <f>IFERROR(_xlfn.XLOOKUP($D231,'Modelling New'!$D:$D,'Modelling New'!$AE:$AE),"")</f>
        <v>0.96029999999999993</v>
      </c>
      <c r="AH231" s="140">
        <f>IFERROR(_xlfn.XLOOKUP($D231,'Modelling New'!$D:$D,'Modelling New'!$AF:$AF),"")</f>
        <v>0.995</v>
      </c>
      <c r="AI231" s="121" t="str">
        <f>IFERROR(_xlfn.XLOOKUP($A231,Input_Raw!$A:$A,Input_Raw!$DE:$DE),"")</f>
        <v/>
      </c>
      <c r="AJ231" s="121"/>
      <c r="AK231" s="121"/>
      <c r="AL231" s="121"/>
      <c r="AM231" s="121"/>
      <c r="AN231" s="142" t="str">
        <f>IFERROR(_xlfn.XLOOKUP($A231,Input_Raw!$A:$A,Input_Raw!$DB:$DB),"")</f>
        <v/>
      </c>
      <c r="AO231" s="140" t="str">
        <f>IFERROR((_xlfn.XLOOKUP($A231,'WTG Reactive Power'!$A:$A,'WTG Reactive Power'!$AR:$AR))/X231/1000,"")</f>
        <v/>
      </c>
      <c r="AP231" s="140">
        <f>IFERROR(_xlfn.XLOOKUP($D231,'Modelling New'!$D:$D,'Modelling New'!$AK:$AK),"")</f>
        <v>0.05</v>
      </c>
      <c r="AQ231" s="140">
        <f>IFERROR(_xlfn.XLOOKUP($D231,'Modelling New'!$D:$D,'Modelling New'!$AL:$AL),"")</f>
        <v>0.05</v>
      </c>
      <c r="AR231">
        <f>IFERROR(_xlfn.XLOOKUP($D231,'Modelling New'!$D:$D,'Modelling New'!$N:$N),"")</f>
        <v>78</v>
      </c>
    </row>
    <row r="232" spans="1:44">
      <c r="A232" s="134">
        <f t="shared" si="22"/>
        <v>45975</v>
      </c>
      <c r="B232" s="123">
        <f>YEAR(Table13[[#This Row],[Date]])+IF(MONTH(Table13[[#This Row],[Date]])&gt;=4,1,0)</f>
        <v>2026</v>
      </c>
      <c r="C232" s="121">
        <f>YEAR(Table13[[#This Row],[Date]])</f>
        <v>2025</v>
      </c>
      <c r="D232" s="135">
        <f>Table13[[#This Row],[Date]]-DAY(Table13[[#This Row],[Date]])+1</f>
        <v>45962</v>
      </c>
      <c r="E232" s="121">
        <f t="shared" si="19"/>
        <v>30</v>
      </c>
      <c r="F232" s="124"/>
      <c r="G232" s="125"/>
      <c r="H232" s="125"/>
      <c r="I232" s="125"/>
      <c r="J232" s="125"/>
      <c r="K232" s="136"/>
      <c r="L232" s="125"/>
      <c r="M232" s="125" t="str">
        <f>IFERROR(_xlfn.XLOOKUP($A232,Input_Raw!$A:$A,Input_Raw!CG:CG),"")</f>
        <v/>
      </c>
      <c r="N232" s="125" t="str">
        <f>IFERROR(_xlfn.XLOOKUP($A232,Input_Raw!$A:$A,Input_Raw!CH:CH),"")</f>
        <v/>
      </c>
      <c r="O232" s="137" t="str">
        <f t="shared" si="20"/>
        <v/>
      </c>
      <c r="P232" s="137" t="str">
        <f>IFERROR(1-SUMIF(WTG_BD!$F:$F,$A232,WTG_BD!$AA:$AA)/($AA232+SUMIF(WTG_BD!$F:$F,$A232,WTG_BD!$AA:$AA)),"")</f>
        <v/>
      </c>
      <c r="Q232" s="138" t="str">
        <f>IFERROR(1-SUMIF(IGA_BD!$F:$F,$A232,IGA_BD!$V:$V)/($AA232+SUMIF(IGA_BD!$F:$F,$A232,IGA_BD!$V:$V)),"")</f>
        <v/>
      </c>
      <c r="R232" s="143" t="str">
        <f>IFERROR(1-SUMIF(Grid_BD!$F:$F,$A232,Grid_BD!$X:$X)/($AA232+SUMIF(Grid_BD!$F:$F,$A232,Grid_BD!$X:$X)),"")</f>
        <v/>
      </c>
      <c r="S232" s="121"/>
      <c r="T232" s="138"/>
      <c r="U232" s="139"/>
      <c r="V232" s="121"/>
      <c r="W232" s="140" t="str">
        <f>IFERROR(Table13[[#This Row],[Mtr_Net_Exp (KWh)]]/(24*AR232*1000),"")</f>
        <v/>
      </c>
      <c r="X232" s="121" t="str">
        <f>IFERROR(_xlfn.XLOOKUP($A232,Input_Raw!$A:$A,Input_Raw!$CF:$CF),"")</f>
        <v/>
      </c>
      <c r="Y232" s="121" t="str">
        <f>IFERROR(_xlfn.XLOOKUP($A232,Input_Raw!$A:$A,Input_Raw!$CZ:$CZ),"")</f>
        <v/>
      </c>
      <c r="Z232" s="121" t="str">
        <f>IFERROR(_xlfn.XLOOKUP($A232,Input_Raw!$A:$A,Input_Raw!$DA:$DA),"")</f>
        <v/>
      </c>
      <c r="AA232" s="123" t="str">
        <f t="shared" si="21"/>
        <v/>
      </c>
      <c r="AB232" s="121" t="str">
        <f>IFERROR(_xlfn.XLOOKUP($A232,Input_Raw!$A:$A,Input_Raw!$DG:$DG),"")</f>
        <v/>
      </c>
      <c r="AC232" s="141">
        <f>IFERROR(_xlfn.XLOOKUP($D232,'Modelling New'!$D:$D,'Modelling New'!$J:$J),"")</f>
        <v>4.0333333333333332</v>
      </c>
      <c r="AD232" s="123">
        <f>IFERROR(_xlfn.XLOOKUP($D232,'Modelling New'!$D:$D,'Modelling New'!$T:$T)*1000,"")</f>
        <v>162550.46310460661</v>
      </c>
      <c r="AE232" s="140"/>
      <c r="AF232" s="140">
        <f>IFERROR(_xlfn.XLOOKUP($D232,'Modelling New'!$D:$D,'Modelling New'!$W:$W),"")</f>
        <v>8.6832512342204377E-2</v>
      </c>
      <c r="AG232" s="140">
        <f>IFERROR(_xlfn.XLOOKUP($D232,'Modelling New'!$D:$D,'Modelling New'!$AE:$AE),"")</f>
        <v>0.96029999999999993</v>
      </c>
      <c r="AH232" s="140">
        <f>IFERROR(_xlfn.XLOOKUP($D232,'Modelling New'!$D:$D,'Modelling New'!$AF:$AF),"")</f>
        <v>0.995</v>
      </c>
      <c r="AI232" s="121" t="str">
        <f>IFERROR(_xlfn.XLOOKUP($A232,Input_Raw!$A:$A,Input_Raw!$DE:$DE),"")</f>
        <v/>
      </c>
      <c r="AJ232" s="121"/>
      <c r="AK232" s="121"/>
      <c r="AL232" s="121"/>
      <c r="AM232" s="121"/>
      <c r="AN232" s="142" t="str">
        <f>IFERROR(_xlfn.XLOOKUP($A232,Input_Raw!$A:$A,Input_Raw!$DB:$DB),"")</f>
        <v/>
      </c>
      <c r="AO232" s="140" t="str">
        <f>IFERROR((_xlfn.XLOOKUP($A232,'WTG Reactive Power'!$A:$A,'WTG Reactive Power'!$AR:$AR))/X232/1000,"")</f>
        <v/>
      </c>
      <c r="AP232" s="140">
        <f>IFERROR(_xlfn.XLOOKUP($D232,'Modelling New'!$D:$D,'Modelling New'!$AK:$AK),"")</f>
        <v>0.05</v>
      </c>
      <c r="AQ232" s="140">
        <f>IFERROR(_xlfn.XLOOKUP($D232,'Modelling New'!$D:$D,'Modelling New'!$AL:$AL),"")</f>
        <v>0.05</v>
      </c>
      <c r="AR232">
        <f>IFERROR(_xlfn.XLOOKUP($D232,'Modelling New'!$D:$D,'Modelling New'!$N:$N),"")</f>
        <v>78</v>
      </c>
    </row>
    <row r="233" spans="1:44">
      <c r="A233" s="134">
        <f t="shared" si="22"/>
        <v>45976</v>
      </c>
      <c r="B233" s="123">
        <f>YEAR(Table13[[#This Row],[Date]])+IF(MONTH(Table13[[#This Row],[Date]])&gt;=4,1,0)</f>
        <v>2026</v>
      </c>
      <c r="C233" s="121">
        <f>YEAR(Table13[[#This Row],[Date]])</f>
        <v>2025</v>
      </c>
      <c r="D233" s="135">
        <f>Table13[[#This Row],[Date]]-DAY(Table13[[#This Row],[Date]])+1</f>
        <v>45962</v>
      </c>
      <c r="E233" s="121">
        <f t="shared" si="19"/>
        <v>30</v>
      </c>
      <c r="F233" s="124"/>
      <c r="G233" s="125"/>
      <c r="H233" s="125"/>
      <c r="I233" s="125"/>
      <c r="J233" s="125"/>
      <c r="K233" s="136"/>
      <c r="L233" s="125"/>
      <c r="M233" s="125" t="str">
        <f>IFERROR(_xlfn.XLOOKUP($A233,Input_Raw!$A:$A,Input_Raw!CG:CG),"")</f>
        <v/>
      </c>
      <c r="N233" s="125" t="str">
        <f>IFERROR(_xlfn.XLOOKUP($A233,Input_Raw!$A:$A,Input_Raw!CH:CH),"")</f>
        <v/>
      </c>
      <c r="O233" s="137" t="str">
        <f t="shared" si="20"/>
        <v/>
      </c>
      <c r="P233" s="137" t="str">
        <f>IFERROR(1-SUMIF(WTG_BD!$F:$F,$A233,WTG_BD!$AA:$AA)/($AA233+SUMIF(WTG_BD!$F:$F,$A233,WTG_BD!$AA:$AA)),"")</f>
        <v/>
      </c>
      <c r="Q233" s="138" t="str">
        <f>IFERROR(1-SUMIF(IGA_BD!$F:$F,$A233,IGA_BD!$V:$V)/($AA233+SUMIF(IGA_BD!$F:$F,$A233,IGA_BD!$V:$V)),"")</f>
        <v/>
      </c>
      <c r="R233" s="143" t="str">
        <f>IFERROR(1-SUMIF(Grid_BD!$F:$F,$A233,Grid_BD!$X:$X)/($AA233+SUMIF(Grid_BD!$F:$F,$A233,Grid_BD!$X:$X)),"")</f>
        <v/>
      </c>
      <c r="S233" s="121"/>
      <c r="T233" s="138"/>
      <c r="U233" s="139"/>
      <c r="V233" s="121"/>
      <c r="W233" s="140" t="str">
        <f>IFERROR(Table13[[#This Row],[Mtr_Net_Exp (KWh)]]/(24*AR233*1000),"")</f>
        <v/>
      </c>
      <c r="X233" s="121" t="str">
        <f>IFERROR(_xlfn.XLOOKUP($A233,Input_Raw!$A:$A,Input_Raw!$CF:$CF),"")</f>
        <v/>
      </c>
      <c r="Y233" s="121" t="str">
        <f>IFERROR(_xlfn.XLOOKUP($A233,Input_Raw!$A:$A,Input_Raw!$CZ:$CZ),"")</f>
        <v/>
      </c>
      <c r="Z233" s="121" t="str">
        <f>IFERROR(_xlfn.XLOOKUP($A233,Input_Raw!$A:$A,Input_Raw!$DA:$DA),"")</f>
        <v/>
      </c>
      <c r="AA233" s="123" t="str">
        <f t="shared" si="21"/>
        <v/>
      </c>
      <c r="AB233" s="121" t="str">
        <f>IFERROR(_xlfn.XLOOKUP($A233,Input_Raw!$A:$A,Input_Raw!$DG:$DG),"")</f>
        <v/>
      </c>
      <c r="AC233" s="141">
        <f>IFERROR(_xlfn.XLOOKUP($D233,'Modelling New'!$D:$D,'Modelling New'!$J:$J),"")</f>
        <v>4.0333333333333332</v>
      </c>
      <c r="AD233" s="123">
        <f>IFERROR(_xlfn.XLOOKUP($D233,'Modelling New'!$D:$D,'Modelling New'!$T:$T)*1000,"")</f>
        <v>162550.46310460661</v>
      </c>
      <c r="AE233" s="140"/>
      <c r="AF233" s="140">
        <f>IFERROR(_xlfn.XLOOKUP($D233,'Modelling New'!$D:$D,'Modelling New'!$W:$W),"")</f>
        <v>8.6832512342204377E-2</v>
      </c>
      <c r="AG233" s="140">
        <f>IFERROR(_xlfn.XLOOKUP($D233,'Modelling New'!$D:$D,'Modelling New'!$AE:$AE),"")</f>
        <v>0.96029999999999993</v>
      </c>
      <c r="AH233" s="140">
        <f>IFERROR(_xlfn.XLOOKUP($D233,'Modelling New'!$D:$D,'Modelling New'!$AF:$AF),"")</f>
        <v>0.995</v>
      </c>
      <c r="AI233" s="121" t="str">
        <f>IFERROR(_xlfn.XLOOKUP($A233,Input_Raw!$A:$A,Input_Raw!$DE:$DE),"")</f>
        <v/>
      </c>
      <c r="AJ233" s="121"/>
      <c r="AK233" s="121"/>
      <c r="AL233" s="121"/>
      <c r="AM233" s="121"/>
      <c r="AN233" s="142" t="str">
        <f>IFERROR(_xlfn.XLOOKUP($A233,Input_Raw!$A:$A,Input_Raw!$DB:$DB),"")</f>
        <v/>
      </c>
      <c r="AO233" s="140" t="str">
        <f>IFERROR((_xlfn.XLOOKUP($A233,'WTG Reactive Power'!$A:$A,'WTG Reactive Power'!$AR:$AR))/X233/1000,"")</f>
        <v/>
      </c>
      <c r="AP233" s="140">
        <f>IFERROR(_xlfn.XLOOKUP($D233,'Modelling New'!$D:$D,'Modelling New'!$AK:$AK),"")</f>
        <v>0.05</v>
      </c>
      <c r="AQ233" s="140">
        <f>IFERROR(_xlfn.XLOOKUP($D233,'Modelling New'!$D:$D,'Modelling New'!$AL:$AL),"")</f>
        <v>0.05</v>
      </c>
      <c r="AR233">
        <f>IFERROR(_xlfn.XLOOKUP($D233,'Modelling New'!$D:$D,'Modelling New'!$N:$N),"")</f>
        <v>78</v>
      </c>
    </row>
    <row r="234" spans="1:44">
      <c r="A234" s="134">
        <f t="shared" si="22"/>
        <v>45977</v>
      </c>
      <c r="B234" s="123">
        <f>YEAR(Table13[[#This Row],[Date]])+IF(MONTH(Table13[[#This Row],[Date]])&gt;=4,1,0)</f>
        <v>2026</v>
      </c>
      <c r="C234" s="121">
        <f>YEAR(Table13[[#This Row],[Date]])</f>
        <v>2025</v>
      </c>
      <c r="D234" s="135">
        <f>Table13[[#This Row],[Date]]-DAY(Table13[[#This Row],[Date]])+1</f>
        <v>45962</v>
      </c>
      <c r="E234" s="121">
        <f t="shared" si="19"/>
        <v>30</v>
      </c>
      <c r="F234" s="124"/>
      <c r="G234" s="125"/>
      <c r="H234" s="125"/>
      <c r="I234" s="125"/>
      <c r="J234" s="125"/>
      <c r="K234" s="136"/>
      <c r="L234" s="125"/>
      <c r="M234" s="125" t="str">
        <f>IFERROR(_xlfn.XLOOKUP($A234,Input_Raw!$A:$A,Input_Raw!CG:CG),"")</f>
        <v/>
      </c>
      <c r="N234" s="125" t="str">
        <f>IFERROR(_xlfn.XLOOKUP($A234,Input_Raw!$A:$A,Input_Raw!CH:CH),"")</f>
        <v/>
      </c>
      <c r="O234" s="137" t="str">
        <f t="shared" si="20"/>
        <v/>
      </c>
      <c r="P234" s="137" t="str">
        <f>IFERROR(1-SUMIF(WTG_BD!$F:$F,$A234,WTG_BD!$AA:$AA)/($AA234+SUMIF(WTG_BD!$F:$F,$A234,WTG_BD!$AA:$AA)),"")</f>
        <v/>
      </c>
      <c r="Q234" s="138" t="str">
        <f>IFERROR(1-SUMIF(IGA_BD!$F:$F,$A234,IGA_BD!$V:$V)/($AA234+SUMIF(IGA_BD!$F:$F,$A234,IGA_BD!$V:$V)),"")</f>
        <v/>
      </c>
      <c r="R234" s="143" t="str">
        <f>IFERROR(1-SUMIF(Grid_BD!$F:$F,$A234,Grid_BD!$X:$X)/($AA234+SUMIF(Grid_BD!$F:$F,$A234,Grid_BD!$X:$X)),"")</f>
        <v/>
      </c>
      <c r="S234" s="121"/>
      <c r="T234" s="138"/>
      <c r="U234" s="139"/>
      <c r="V234" s="121"/>
      <c r="W234" s="140" t="str">
        <f>IFERROR(Table13[[#This Row],[Mtr_Net_Exp (KWh)]]/(24*AR234*1000),"")</f>
        <v/>
      </c>
      <c r="X234" s="121" t="str">
        <f>IFERROR(_xlfn.XLOOKUP($A234,Input_Raw!$A:$A,Input_Raw!$CF:$CF),"")</f>
        <v/>
      </c>
      <c r="Y234" s="121" t="str">
        <f>IFERROR(_xlfn.XLOOKUP($A234,Input_Raw!$A:$A,Input_Raw!$CZ:$CZ),"")</f>
        <v/>
      </c>
      <c r="Z234" s="121" t="str">
        <f>IFERROR(_xlfn.XLOOKUP($A234,Input_Raw!$A:$A,Input_Raw!$DA:$DA),"")</f>
        <v/>
      </c>
      <c r="AA234" s="123" t="str">
        <f t="shared" si="21"/>
        <v/>
      </c>
      <c r="AB234" s="121" t="str">
        <f>IFERROR(_xlfn.XLOOKUP($A234,Input_Raw!$A:$A,Input_Raw!$DG:$DG),"")</f>
        <v/>
      </c>
      <c r="AC234" s="141">
        <f>IFERROR(_xlfn.XLOOKUP($D234,'Modelling New'!$D:$D,'Modelling New'!$J:$J),"")</f>
        <v>4.0333333333333332</v>
      </c>
      <c r="AD234" s="123">
        <f>IFERROR(_xlfn.XLOOKUP($D234,'Modelling New'!$D:$D,'Modelling New'!$T:$T)*1000,"")</f>
        <v>162550.46310460661</v>
      </c>
      <c r="AE234" s="140"/>
      <c r="AF234" s="140">
        <f>IFERROR(_xlfn.XLOOKUP($D234,'Modelling New'!$D:$D,'Modelling New'!$W:$W),"")</f>
        <v>8.6832512342204377E-2</v>
      </c>
      <c r="AG234" s="140">
        <f>IFERROR(_xlfn.XLOOKUP($D234,'Modelling New'!$D:$D,'Modelling New'!$AE:$AE),"")</f>
        <v>0.96029999999999993</v>
      </c>
      <c r="AH234" s="140">
        <f>IFERROR(_xlfn.XLOOKUP($D234,'Modelling New'!$D:$D,'Modelling New'!$AF:$AF),"")</f>
        <v>0.995</v>
      </c>
      <c r="AI234" s="121" t="str">
        <f>IFERROR(_xlfn.XLOOKUP($A234,Input_Raw!$A:$A,Input_Raw!$DE:$DE),"")</f>
        <v/>
      </c>
      <c r="AJ234" s="121"/>
      <c r="AK234" s="121"/>
      <c r="AL234" s="121"/>
      <c r="AM234" s="121"/>
      <c r="AN234" s="142" t="str">
        <f>IFERROR(_xlfn.XLOOKUP($A234,Input_Raw!$A:$A,Input_Raw!$DB:$DB),"")</f>
        <v/>
      </c>
      <c r="AO234" s="140" t="str">
        <f>IFERROR((_xlfn.XLOOKUP($A234,'WTG Reactive Power'!$A:$A,'WTG Reactive Power'!$AR:$AR))/X234/1000,"")</f>
        <v/>
      </c>
      <c r="AP234" s="140">
        <f>IFERROR(_xlfn.XLOOKUP($D234,'Modelling New'!$D:$D,'Modelling New'!$AK:$AK),"")</f>
        <v>0.05</v>
      </c>
      <c r="AQ234" s="140">
        <f>IFERROR(_xlfn.XLOOKUP($D234,'Modelling New'!$D:$D,'Modelling New'!$AL:$AL),"")</f>
        <v>0.05</v>
      </c>
      <c r="AR234">
        <f>IFERROR(_xlfn.XLOOKUP($D234,'Modelling New'!$D:$D,'Modelling New'!$N:$N),"")</f>
        <v>78</v>
      </c>
    </row>
    <row r="235" spans="1:44">
      <c r="A235" s="134">
        <f t="shared" si="22"/>
        <v>45978</v>
      </c>
      <c r="B235" s="123">
        <f>YEAR(Table13[[#This Row],[Date]])+IF(MONTH(Table13[[#This Row],[Date]])&gt;=4,1,0)</f>
        <v>2026</v>
      </c>
      <c r="C235" s="121">
        <f>YEAR(Table13[[#This Row],[Date]])</f>
        <v>2025</v>
      </c>
      <c r="D235" s="135">
        <f>Table13[[#This Row],[Date]]-DAY(Table13[[#This Row],[Date]])+1</f>
        <v>45962</v>
      </c>
      <c r="E235" s="121">
        <f t="shared" si="19"/>
        <v>30</v>
      </c>
      <c r="F235" s="124"/>
      <c r="G235" s="125"/>
      <c r="H235" s="125"/>
      <c r="I235" s="125"/>
      <c r="J235" s="125"/>
      <c r="K235" s="136"/>
      <c r="L235" s="125"/>
      <c r="M235" s="125" t="str">
        <f>IFERROR(_xlfn.XLOOKUP($A235,Input_Raw!$A:$A,Input_Raw!CG:CG),"")</f>
        <v/>
      </c>
      <c r="N235" s="125" t="str">
        <f>IFERROR(_xlfn.XLOOKUP($A235,Input_Raw!$A:$A,Input_Raw!CH:CH),"")</f>
        <v/>
      </c>
      <c r="O235" s="137" t="str">
        <f t="shared" si="20"/>
        <v/>
      </c>
      <c r="P235" s="137" t="str">
        <f>IFERROR(1-SUMIF(WTG_BD!$F:$F,$A235,WTG_BD!$AA:$AA)/($AA235+SUMIF(WTG_BD!$F:$F,$A235,WTG_BD!$AA:$AA)),"")</f>
        <v/>
      </c>
      <c r="Q235" s="138" t="str">
        <f>IFERROR(1-SUMIF(IGA_BD!$F:$F,$A235,IGA_BD!$V:$V)/($AA235+SUMIF(IGA_BD!$F:$F,$A235,IGA_BD!$V:$V)),"")</f>
        <v/>
      </c>
      <c r="R235" s="143" t="str">
        <f>IFERROR(1-SUMIF(Grid_BD!$F:$F,$A235,Grid_BD!$X:$X)/($AA235+SUMIF(Grid_BD!$F:$F,$A235,Grid_BD!$X:$X)),"")</f>
        <v/>
      </c>
      <c r="S235" s="121"/>
      <c r="T235" s="138"/>
      <c r="U235" s="139"/>
      <c r="V235" s="121"/>
      <c r="W235" s="140" t="str">
        <f>IFERROR(Table13[[#This Row],[Mtr_Net_Exp (KWh)]]/(24*AR235*1000),"")</f>
        <v/>
      </c>
      <c r="X235" s="121" t="str">
        <f>IFERROR(_xlfn.XLOOKUP($A235,Input_Raw!$A:$A,Input_Raw!$CF:$CF),"")</f>
        <v/>
      </c>
      <c r="Y235" s="121" t="str">
        <f>IFERROR(_xlfn.XLOOKUP($A235,Input_Raw!$A:$A,Input_Raw!$CZ:$CZ),"")</f>
        <v/>
      </c>
      <c r="Z235" s="121" t="str">
        <f>IFERROR(_xlfn.XLOOKUP($A235,Input_Raw!$A:$A,Input_Raw!$DA:$DA),"")</f>
        <v/>
      </c>
      <c r="AA235" s="123" t="str">
        <f t="shared" si="21"/>
        <v/>
      </c>
      <c r="AB235" s="121" t="str">
        <f>IFERROR(_xlfn.XLOOKUP($A235,Input_Raw!$A:$A,Input_Raw!$DG:$DG),"")</f>
        <v/>
      </c>
      <c r="AC235" s="141">
        <f>IFERROR(_xlfn.XLOOKUP($D235,'Modelling New'!$D:$D,'Modelling New'!$J:$J),"")</f>
        <v>4.0333333333333332</v>
      </c>
      <c r="AD235" s="123">
        <f>IFERROR(_xlfn.XLOOKUP($D235,'Modelling New'!$D:$D,'Modelling New'!$T:$T)*1000,"")</f>
        <v>162550.46310460661</v>
      </c>
      <c r="AE235" s="140"/>
      <c r="AF235" s="140">
        <f>IFERROR(_xlfn.XLOOKUP($D235,'Modelling New'!$D:$D,'Modelling New'!$W:$W),"")</f>
        <v>8.6832512342204377E-2</v>
      </c>
      <c r="AG235" s="140">
        <f>IFERROR(_xlfn.XLOOKUP($D235,'Modelling New'!$D:$D,'Modelling New'!$AE:$AE),"")</f>
        <v>0.96029999999999993</v>
      </c>
      <c r="AH235" s="140">
        <f>IFERROR(_xlfn.XLOOKUP($D235,'Modelling New'!$D:$D,'Modelling New'!$AF:$AF),"")</f>
        <v>0.995</v>
      </c>
      <c r="AI235" s="121" t="str">
        <f>IFERROR(_xlfn.XLOOKUP($A235,Input_Raw!$A:$A,Input_Raw!$DE:$DE),"")</f>
        <v/>
      </c>
      <c r="AJ235" s="121"/>
      <c r="AK235" s="121"/>
      <c r="AL235" s="121"/>
      <c r="AM235" s="121"/>
      <c r="AN235" s="142" t="str">
        <f>IFERROR(_xlfn.XLOOKUP($A235,Input_Raw!$A:$A,Input_Raw!$DB:$DB),"")</f>
        <v/>
      </c>
      <c r="AO235" s="140" t="str">
        <f>IFERROR((_xlfn.XLOOKUP($A235,'WTG Reactive Power'!$A:$A,'WTG Reactive Power'!$AR:$AR))/X235/1000,"")</f>
        <v/>
      </c>
      <c r="AP235" s="140">
        <f>IFERROR(_xlfn.XLOOKUP($D235,'Modelling New'!$D:$D,'Modelling New'!$AK:$AK),"")</f>
        <v>0.05</v>
      </c>
      <c r="AQ235" s="140">
        <f>IFERROR(_xlfn.XLOOKUP($D235,'Modelling New'!$D:$D,'Modelling New'!$AL:$AL),"")</f>
        <v>0.05</v>
      </c>
      <c r="AR235">
        <f>IFERROR(_xlfn.XLOOKUP($D235,'Modelling New'!$D:$D,'Modelling New'!$N:$N),"")</f>
        <v>78</v>
      </c>
    </row>
    <row r="236" spans="1:44">
      <c r="A236" s="134">
        <f t="shared" si="22"/>
        <v>45979</v>
      </c>
      <c r="B236" s="123">
        <f>YEAR(Table13[[#This Row],[Date]])+IF(MONTH(Table13[[#This Row],[Date]])&gt;=4,1,0)</f>
        <v>2026</v>
      </c>
      <c r="C236" s="121">
        <f>YEAR(Table13[[#This Row],[Date]])</f>
        <v>2025</v>
      </c>
      <c r="D236" s="135">
        <f>Table13[[#This Row],[Date]]-DAY(Table13[[#This Row],[Date]])+1</f>
        <v>45962</v>
      </c>
      <c r="E236" s="121">
        <f t="shared" si="19"/>
        <v>30</v>
      </c>
      <c r="F236" s="124"/>
      <c r="G236" s="125"/>
      <c r="H236" s="125"/>
      <c r="I236" s="125"/>
      <c r="J236" s="125"/>
      <c r="K236" s="136"/>
      <c r="L236" s="125"/>
      <c r="M236" s="125" t="str">
        <f>IFERROR(_xlfn.XLOOKUP($A236,Input_Raw!$A:$A,Input_Raw!CG:CG),"")</f>
        <v/>
      </c>
      <c r="N236" s="125" t="str">
        <f>IFERROR(_xlfn.XLOOKUP($A236,Input_Raw!$A:$A,Input_Raw!CH:CH),"")</f>
        <v/>
      </c>
      <c r="O236" s="137" t="str">
        <f t="shared" si="20"/>
        <v/>
      </c>
      <c r="P236" s="137" t="str">
        <f>IFERROR(1-SUMIF(WTG_BD!$F:$F,$A236,WTG_BD!$AA:$AA)/($AA236+SUMIF(WTG_BD!$F:$F,$A236,WTG_BD!$AA:$AA)),"")</f>
        <v/>
      </c>
      <c r="Q236" s="138" t="str">
        <f>IFERROR(1-SUMIF(IGA_BD!$F:$F,$A236,IGA_BD!$V:$V)/($AA236+SUMIF(IGA_BD!$F:$F,$A236,IGA_BD!$V:$V)),"")</f>
        <v/>
      </c>
      <c r="R236" s="143" t="str">
        <f>IFERROR(1-SUMIF(Grid_BD!$F:$F,$A236,Grid_BD!$X:$X)/($AA236+SUMIF(Grid_BD!$F:$F,$A236,Grid_BD!$X:$X)),"")</f>
        <v/>
      </c>
      <c r="S236" s="121"/>
      <c r="T236" s="138"/>
      <c r="U236" s="139"/>
      <c r="V236" s="121"/>
      <c r="W236" s="140" t="str">
        <f>IFERROR(Table13[[#This Row],[Mtr_Net_Exp (KWh)]]/(24*AR236*1000),"")</f>
        <v/>
      </c>
      <c r="X236" s="121" t="str">
        <f>IFERROR(_xlfn.XLOOKUP($A236,Input_Raw!$A:$A,Input_Raw!$CF:$CF),"")</f>
        <v/>
      </c>
      <c r="Y236" s="121" t="str">
        <f>IFERROR(_xlfn.XLOOKUP($A236,Input_Raw!$A:$A,Input_Raw!$CZ:$CZ),"")</f>
        <v/>
      </c>
      <c r="Z236" s="121" t="str">
        <f>IFERROR(_xlfn.XLOOKUP($A236,Input_Raw!$A:$A,Input_Raw!$DA:$DA),"")</f>
        <v/>
      </c>
      <c r="AA236" s="123" t="str">
        <f t="shared" si="21"/>
        <v/>
      </c>
      <c r="AB236" s="121" t="str">
        <f>IFERROR(_xlfn.XLOOKUP($A236,Input_Raw!$A:$A,Input_Raw!$DG:$DG),"")</f>
        <v/>
      </c>
      <c r="AC236" s="141">
        <f>IFERROR(_xlfn.XLOOKUP($D236,'Modelling New'!$D:$D,'Modelling New'!$J:$J),"")</f>
        <v>4.0333333333333332</v>
      </c>
      <c r="AD236" s="123">
        <f>IFERROR(_xlfn.XLOOKUP($D236,'Modelling New'!$D:$D,'Modelling New'!$T:$T)*1000,"")</f>
        <v>162550.46310460661</v>
      </c>
      <c r="AE236" s="140"/>
      <c r="AF236" s="140">
        <f>IFERROR(_xlfn.XLOOKUP($D236,'Modelling New'!$D:$D,'Modelling New'!$W:$W),"")</f>
        <v>8.6832512342204377E-2</v>
      </c>
      <c r="AG236" s="140">
        <f>IFERROR(_xlfn.XLOOKUP($D236,'Modelling New'!$D:$D,'Modelling New'!$AE:$AE),"")</f>
        <v>0.96029999999999993</v>
      </c>
      <c r="AH236" s="140">
        <f>IFERROR(_xlfn.XLOOKUP($D236,'Modelling New'!$D:$D,'Modelling New'!$AF:$AF),"")</f>
        <v>0.995</v>
      </c>
      <c r="AI236" s="121" t="str">
        <f>IFERROR(_xlfn.XLOOKUP($A236,Input_Raw!$A:$A,Input_Raw!$DE:$DE),"")</f>
        <v/>
      </c>
      <c r="AJ236" s="121"/>
      <c r="AK236" s="121"/>
      <c r="AL236" s="121"/>
      <c r="AM236" s="121"/>
      <c r="AN236" s="142" t="str">
        <f>IFERROR(_xlfn.XLOOKUP($A236,Input_Raw!$A:$A,Input_Raw!$DB:$DB),"")</f>
        <v/>
      </c>
      <c r="AO236" s="140" t="str">
        <f>IFERROR((_xlfn.XLOOKUP($A236,'WTG Reactive Power'!$A:$A,'WTG Reactive Power'!$AR:$AR))/X236/1000,"")</f>
        <v/>
      </c>
      <c r="AP236" s="140">
        <f>IFERROR(_xlfn.XLOOKUP($D236,'Modelling New'!$D:$D,'Modelling New'!$AK:$AK),"")</f>
        <v>0.05</v>
      </c>
      <c r="AQ236" s="140">
        <f>IFERROR(_xlfn.XLOOKUP($D236,'Modelling New'!$D:$D,'Modelling New'!$AL:$AL),"")</f>
        <v>0.05</v>
      </c>
      <c r="AR236">
        <f>IFERROR(_xlfn.XLOOKUP($D236,'Modelling New'!$D:$D,'Modelling New'!$N:$N),"")</f>
        <v>78</v>
      </c>
    </row>
    <row r="237" spans="1:44">
      <c r="A237" s="134">
        <f t="shared" si="22"/>
        <v>45980</v>
      </c>
      <c r="B237" s="123">
        <f>YEAR(Table13[[#This Row],[Date]])+IF(MONTH(Table13[[#This Row],[Date]])&gt;=4,1,0)</f>
        <v>2026</v>
      </c>
      <c r="C237" s="121">
        <f>YEAR(Table13[[#This Row],[Date]])</f>
        <v>2025</v>
      </c>
      <c r="D237" s="135">
        <f>Table13[[#This Row],[Date]]-DAY(Table13[[#This Row],[Date]])+1</f>
        <v>45962</v>
      </c>
      <c r="E237" s="121">
        <f t="shared" si="19"/>
        <v>30</v>
      </c>
      <c r="F237" s="124"/>
      <c r="G237" s="125"/>
      <c r="H237" s="125"/>
      <c r="I237" s="125"/>
      <c r="J237" s="125"/>
      <c r="K237" s="136"/>
      <c r="L237" s="125"/>
      <c r="M237" s="125" t="str">
        <f>IFERROR(_xlfn.XLOOKUP($A237,Input_Raw!$A:$A,Input_Raw!CG:CG),"")</f>
        <v/>
      </c>
      <c r="N237" s="125" t="str">
        <f>IFERROR(_xlfn.XLOOKUP($A237,Input_Raw!$A:$A,Input_Raw!CH:CH),"")</f>
        <v/>
      </c>
      <c r="O237" s="137" t="str">
        <f t="shared" si="20"/>
        <v/>
      </c>
      <c r="P237" s="137" t="str">
        <f>IFERROR(1-SUMIF(WTG_BD!$F:$F,$A237,WTG_BD!$AA:$AA)/($AA237+SUMIF(WTG_BD!$F:$F,$A237,WTG_BD!$AA:$AA)),"")</f>
        <v/>
      </c>
      <c r="Q237" s="138" t="str">
        <f>IFERROR(1-SUMIF(IGA_BD!$F:$F,$A237,IGA_BD!$V:$V)/($AA237+SUMIF(IGA_BD!$F:$F,$A237,IGA_BD!$V:$V)),"")</f>
        <v/>
      </c>
      <c r="R237" s="143" t="str">
        <f>IFERROR(1-SUMIF(Grid_BD!$F:$F,$A237,Grid_BD!$X:$X)/($AA237+SUMIF(Grid_BD!$F:$F,$A237,Grid_BD!$X:$X)),"")</f>
        <v/>
      </c>
      <c r="S237" s="121"/>
      <c r="T237" s="138"/>
      <c r="U237" s="139"/>
      <c r="V237" s="121"/>
      <c r="W237" s="140" t="str">
        <f>IFERROR(Table13[[#This Row],[Mtr_Net_Exp (KWh)]]/(24*AR237*1000),"")</f>
        <v/>
      </c>
      <c r="X237" s="121" t="str">
        <f>IFERROR(_xlfn.XLOOKUP($A237,Input_Raw!$A:$A,Input_Raw!$CF:$CF),"")</f>
        <v/>
      </c>
      <c r="Y237" s="121" t="str">
        <f>IFERROR(_xlfn.XLOOKUP($A237,Input_Raw!$A:$A,Input_Raw!$CZ:$CZ),"")</f>
        <v/>
      </c>
      <c r="Z237" s="121" t="str">
        <f>IFERROR(_xlfn.XLOOKUP($A237,Input_Raw!$A:$A,Input_Raw!$DA:$DA),"")</f>
        <v/>
      </c>
      <c r="AA237" s="123" t="str">
        <f t="shared" si="21"/>
        <v/>
      </c>
      <c r="AB237" s="121" t="str">
        <f>IFERROR(_xlfn.XLOOKUP($A237,Input_Raw!$A:$A,Input_Raw!$DG:$DG),"")</f>
        <v/>
      </c>
      <c r="AC237" s="141">
        <f>IFERROR(_xlfn.XLOOKUP($D237,'Modelling New'!$D:$D,'Modelling New'!$J:$J),"")</f>
        <v>4.0333333333333332</v>
      </c>
      <c r="AD237" s="123">
        <f>IFERROR(_xlfn.XLOOKUP($D237,'Modelling New'!$D:$D,'Modelling New'!$T:$T)*1000,"")</f>
        <v>162550.46310460661</v>
      </c>
      <c r="AE237" s="140"/>
      <c r="AF237" s="140">
        <f>IFERROR(_xlfn.XLOOKUP($D237,'Modelling New'!$D:$D,'Modelling New'!$W:$W),"")</f>
        <v>8.6832512342204377E-2</v>
      </c>
      <c r="AG237" s="140">
        <f>IFERROR(_xlfn.XLOOKUP($D237,'Modelling New'!$D:$D,'Modelling New'!$AE:$AE),"")</f>
        <v>0.96029999999999993</v>
      </c>
      <c r="AH237" s="140">
        <f>IFERROR(_xlfn.XLOOKUP($D237,'Modelling New'!$D:$D,'Modelling New'!$AF:$AF),"")</f>
        <v>0.995</v>
      </c>
      <c r="AI237" s="121" t="str">
        <f>IFERROR(_xlfn.XLOOKUP($A237,Input_Raw!$A:$A,Input_Raw!$DE:$DE),"")</f>
        <v/>
      </c>
      <c r="AJ237" s="121"/>
      <c r="AK237" s="121"/>
      <c r="AL237" s="121"/>
      <c r="AM237" s="121"/>
      <c r="AN237" s="142" t="str">
        <f>IFERROR(_xlfn.XLOOKUP($A237,Input_Raw!$A:$A,Input_Raw!$DB:$DB),"")</f>
        <v/>
      </c>
      <c r="AO237" s="140" t="str">
        <f>IFERROR((_xlfn.XLOOKUP($A237,'WTG Reactive Power'!$A:$A,'WTG Reactive Power'!$AR:$AR))/X237/1000,"")</f>
        <v/>
      </c>
      <c r="AP237" s="140">
        <f>IFERROR(_xlfn.XLOOKUP($D237,'Modelling New'!$D:$D,'Modelling New'!$AK:$AK),"")</f>
        <v>0.05</v>
      </c>
      <c r="AQ237" s="140">
        <f>IFERROR(_xlfn.XLOOKUP($D237,'Modelling New'!$D:$D,'Modelling New'!$AL:$AL),"")</f>
        <v>0.05</v>
      </c>
      <c r="AR237">
        <f>IFERROR(_xlfn.XLOOKUP($D237,'Modelling New'!$D:$D,'Modelling New'!$N:$N),"")</f>
        <v>78</v>
      </c>
    </row>
    <row r="238" spans="1:44">
      <c r="A238" s="134">
        <f t="shared" si="22"/>
        <v>45981</v>
      </c>
      <c r="B238" s="123">
        <f>YEAR(Table13[[#This Row],[Date]])+IF(MONTH(Table13[[#This Row],[Date]])&gt;=4,1,0)</f>
        <v>2026</v>
      </c>
      <c r="C238" s="121">
        <f>YEAR(Table13[[#This Row],[Date]])</f>
        <v>2025</v>
      </c>
      <c r="D238" s="135">
        <f>Table13[[#This Row],[Date]]-DAY(Table13[[#This Row],[Date]])+1</f>
        <v>45962</v>
      </c>
      <c r="E238" s="121">
        <f t="shared" si="19"/>
        <v>30</v>
      </c>
      <c r="F238" s="124"/>
      <c r="G238" s="125"/>
      <c r="H238" s="125"/>
      <c r="I238" s="125"/>
      <c r="J238" s="125"/>
      <c r="K238" s="136"/>
      <c r="L238" s="125"/>
      <c r="M238" s="125" t="str">
        <f>IFERROR(_xlfn.XLOOKUP($A238,Input_Raw!$A:$A,Input_Raw!CG:CG),"")</f>
        <v/>
      </c>
      <c r="N238" s="125" t="str">
        <f>IFERROR(_xlfn.XLOOKUP($A238,Input_Raw!$A:$A,Input_Raw!CH:CH),"")</f>
        <v/>
      </c>
      <c r="O238" s="137" t="str">
        <f t="shared" si="20"/>
        <v/>
      </c>
      <c r="P238" s="137" t="str">
        <f>IFERROR(1-SUMIF(WTG_BD!$F:$F,$A238,WTG_BD!$AA:$AA)/($AA238+SUMIF(WTG_BD!$F:$F,$A238,WTG_BD!$AA:$AA)),"")</f>
        <v/>
      </c>
      <c r="Q238" s="138" t="str">
        <f>IFERROR(1-SUMIF(IGA_BD!$F:$F,$A238,IGA_BD!$V:$V)/($AA238+SUMIF(IGA_BD!$F:$F,$A238,IGA_BD!$V:$V)),"")</f>
        <v/>
      </c>
      <c r="R238" s="143" t="str">
        <f>IFERROR(1-SUMIF(Grid_BD!$F:$F,$A238,Grid_BD!$X:$X)/($AA238+SUMIF(Grid_BD!$F:$F,$A238,Grid_BD!$X:$X)),"")</f>
        <v/>
      </c>
      <c r="S238" s="121"/>
      <c r="T238" s="138"/>
      <c r="U238" s="139"/>
      <c r="V238" s="121"/>
      <c r="W238" s="140" t="str">
        <f>IFERROR(Table13[[#This Row],[Mtr_Net_Exp (KWh)]]/(24*AR238*1000),"")</f>
        <v/>
      </c>
      <c r="X238" s="121" t="str">
        <f>IFERROR(_xlfn.XLOOKUP($A238,Input_Raw!$A:$A,Input_Raw!$CF:$CF),"")</f>
        <v/>
      </c>
      <c r="Y238" s="121" t="str">
        <f>IFERROR(_xlfn.XLOOKUP($A238,Input_Raw!$A:$A,Input_Raw!$CZ:$CZ),"")</f>
        <v/>
      </c>
      <c r="Z238" s="121" t="str">
        <f>IFERROR(_xlfn.XLOOKUP($A238,Input_Raw!$A:$A,Input_Raw!$DA:$DA),"")</f>
        <v/>
      </c>
      <c r="AA238" s="123" t="str">
        <f t="shared" si="21"/>
        <v/>
      </c>
      <c r="AB238" s="121" t="str">
        <f>IFERROR(_xlfn.XLOOKUP($A238,Input_Raw!$A:$A,Input_Raw!$DG:$DG),"")</f>
        <v/>
      </c>
      <c r="AC238" s="141">
        <f>IFERROR(_xlfn.XLOOKUP($D238,'Modelling New'!$D:$D,'Modelling New'!$J:$J),"")</f>
        <v>4.0333333333333332</v>
      </c>
      <c r="AD238" s="123">
        <f>IFERROR(_xlfn.XLOOKUP($D238,'Modelling New'!$D:$D,'Modelling New'!$T:$T)*1000,"")</f>
        <v>162550.46310460661</v>
      </c>
      <c r="AE238" s="140"/>
      <c r="AF238" s="140">
        <f>IFERROR(_xlfn.XLOOKUP($D238,'Modelling New'!$D:$D,'Modelling New'!$W:$W),"")</f>
        <v>8.6832512342204377E-2</v>
      </c>
      <c r="AG238" s="140">
        <f>IFERROR(_xlfn.XLOOKUP($D238,'Modelling New'!$D:$D,'Modelling New'!$AE:$AE),"")</f>
        <v>0.96029999999999993</v>
      </c>
      <c r="AH238" s="140">
        <f>IFERROR(_xlfn.XLOOKUP($D238,'Modelling New'!$D:$D,'Modelling New'!$AF:$AF),"")</f>
        <v>0.995</v>
      </c>
      <c r="AI238" s="121" t="str">
        <f>IFERROR(_xlfn.XLOOKUP($A238,Input_Raw!$A:$A,Input_Raw!$DE:$DE),"")</f>
        <v/>
      </c>
      <c r="AJ238" s="121"/>
      <c r="AK238" s="121"/>
      <c r="AL238" s="121"/>
      <c r="AM238" s="121"/>
      <c r="AN238" s="142" t="str">
        <f>IFERROR(_xlfn.XLOOKUP($A238,Input_Raw!$A:$A,Input_Raw!$DB:$DB),"")</f>
        <v/>
      </c>
      <c r="AO238" s="140" t="str">
        <f>IFERROR((_xlfn.XLOOKUP($A238,'WTG Reactive Power'!$A:$A,'WTG Reactive Power'!$AR:$AR))/X238/1000,"")</f>
        <v/>
      </c>
      <c r="AP238" s="140">
        <f>IFERROR(_xlfn.XLOOKUP($D238,'Modelling New'!$D:$D,'Modelling New'!$AK:$AK),"")</f>
        <v>0.05</v>
      </c>
      <c r="AQ238" s="140">
        <f>IFERROR(_xlfn.XLOOKUP($D238,'Modelling New'!$D:$D,'Modelling New'!$AL:$AL),"")</f>
        <v>0.05</v>
      </c>
      <c r="AR238">
        <f>IFERROR(_xlfn.XLOOKUP($D238,'Modelling New'!$D:$D,'Modelling New'!$N:$N),"")</f>
        <v>78</v>
      </c>
    </row>
    <row r="239" spans="1:44">
      <c r="A239" s="134">
        <f t="shared" si="22"/>
        <v>45982</v>
      </c>
      <c r="B239" s="123">
        <f>YEAR(Table13[[#This Row],[Date]])+IF(MONTH(Table13[[#This Row],[Date]])&gt;=4,1,0)</f>
        <v>2026</v>
      </c>
      <c r="C239" s="121">
        <f>YEAR(Table13[[#This Row],[Date]])</f>
        <v>2025</v>
      </c>
      <c r="D239" s="135">
        <f>Table13[[#This Row],[Date]]-DAY(Table13[[#This Row],[Date]])+1</f>
        <v>45962</v>
      </c>
      <c r="E239" s="121">
        <f t="shared" si="19"/>
        <v>30</v>
      </c>
      <c r="F239" s="124"/>
      <c r="G239" s="125"/>
      <c r="H239" s="125"/>
      <c r="I239" s="125"/>
      <c r="J239" s="125"/>
      <c r="K239" s="136"/>
      <c r="L239" s="125"/>
      <c r="M239" s="125" t="str">
        <f>IFERROR(_xlfn.XLOOKUP($A239,Input_Raw!$A:$A,Input_Raw!CG:CG),"")</f>
        <v/>
      </c>
      <c r="N239" s="125" t="str">
        <f>IFERROR(_xlfn.XLOOKUP($A239,Input_Raw!$A:$A,Input_Raw!CH:CH),"")</f>
        <v/>
      </c>
      <c r="O239" s="137" t="str">
        <f t="shared" si="20"/>
        <v/>
      </c>
      <c r="P239" s="137" t="str">
        <f>IFERROR(1-SUMIF(WTG_BD!$F:$F,$A239,WTG_BD!$AA:$AA)/($AA239+SUMIF(WTG_BD!$F:$F,$A239,WTG_BD!$AA:$AA)),"")</f>
        <v/>
      </c>
      <c r="Q239" s="138" t="str">
        <f>IFERROR(1-SUMIF(IGA_BD!$F:$F,$A239,IGA_BD!$V:$V)/($AA239+SUMIF(IGA_BD!$F:$F,$A239,IGA_BD!$V:$V)),"")</f>
        <v/>
      </c>
      <c r="R239" s="143" t="str">
        <f>IFERROR(1-SUMIF(Grid_BD!$F:$F,$A239,Grid_BD!$X:$X)/($AA239+SUMIF(Grid_BD!$F:$F,$A239,Grid_BD!$X:$X)),"")</f>
        <v/>
      </c>
      <c r="S239" s="121"/>
      <c r="T239" s="138"/>
      <c r="U239" s="139"/>
      <c r="V239" s="121"/>
      <c r="W239" s="140" t="str">
        <f>IFERROR(Table13[[#This Row],[Mtr_Net_Exp (KWh)]]/(24*AR239*1000),"")</f>
        <v/>
      </c>
      <c r="X239" s="121" t="str">
        <f>IFERROR(_xlfn.XLOOKUP($A239,Input_Raw!$A:$A,Input_Raw!$CF:$CF),"")</f>
        <v/>
      </c>
      <c r="Y239" s="121" t="str">
        <f>IFERROR(_xlfn.XLOOKUP($A239,Input_Raw!$A:$A,Input_Raw!$CZ:$CZ),"")</f>
        <v/>
      </c>
      <c r="Z239" s="121" t="str">
        <f>IFERROR(_xlfn.XLOOKUP($A239,Input_Raw!$A:$A,Input_Raw!$DA:$DA),"")</f>
        <v/>
      </c>
      <c r="AA239" s="123" t="str">
        <f t="shared" si="21"/>
        <v/>
      </c>
      <c r="AB239" s="121" t="str">
        <f>IFERROR(_xlfn.XLOOKUP($A239,Input_Raw!$A:$A,Input_Raw!$DG:$DG),"")</f>
        <v/>
      </c>
      <c r="AC239" s="141">
        <f>IFERROR(_xlfn.XLOOKUP($D239,'Modelling New'!$D:$D,'Modelling New'!$J:$J),"")</f>
        <v>4.0333333333333332</v>
      </c>
      <c r="AD239" s="123">
        <f>IFERROR(_xlfn.XLOOKUP($D239,'Modelling New'!$D:$D,'Modelling New'!$T:$T)*1000,"")</f>
        <v>162550.46310460661</v>
      </c>
      <c r="AE239" s="140"/>
      <c r="AF239" s="140">
        <f>IFERROR(_xlfn.XLOOKUP($D239,'Modelling New'!$D:$D,'Modelling New'!$W:$W),"")</f>
        <v>8.6832512342204377E-2</v>
      </c>
      <c r="AG239" s="140">
        <f>IFERROR(_xlfn.XLOOKUP($D239,'Modelling New'!$D:$D,'Modelling New'!$AE:$AE),"")</f>
        <v>0.96029999999999993</v>
      </c>
      <c r="AH239" s="140">
        <f>IFERROR(_xlfn.XLOOKUP($D239,'Modelling New'!$D:$D,'Modelling New'!$AF:$AF),"")</f>
        <v>0.995</v>
      </c>
      <c r="AI239" s="121" t="str">
        <f>IFERROR(_xlfn.XLOOKUP($A239,Input_Raw!$A:$A,Input_Raw!$DE:$DE),"")</f>
        <v/>
      </c>
      <c r="AJ239" s="121"/>
      <c r="AK239" s="121"/>
      <c r="AL239" s="121"/>
      <c r="AM239" s="121"/>
      <c r="AN239" s="142" t="str">
        <f>IFERROR(_xlfn.XLOOKUP($A239,Input_Raw!$A:$A,Input_Raw!$DB:$DB),"")</f>
        <v/>
      </c>
      <c r="AO239" s="140" t="str">
        <f>IFERROR((_xlfn.XLOOKUP($A239,'WTG Reactive Power'!$A:$A,'WTG Reactive Power'!$AR:$AR))/X239/1000,"")</f>
        <v/>
      </c>
      <c r="AP239" s="140">
        <f>IFERROR(_xlfn.XLOOKUP($D239,'Modelling New'!$D:$D,'Modelling New'!$AK:$AK),"")</f>
        <v>0.05</v>
      </c>
      <c r="AQ239" s="140">
        <f>IFERROR(_xlfn.XLOOKUP($D239,'Modelling New'!$D:$D,'Modelling New'!$AL:$AL),"")</f>
        <v>0.05</v>
      </c>
      <c r="AR239">
        <f>IFERROR(_xlfn.XLOOKUP($D239,'Modelling New'!$D:$D,'Modelling New'!$N:$N),"")</f>
        <v>78</v>
      </c>
    </row>
    <row r="240" spans="1:44">
      <c r="A240" s="134">
        <f t="shared" si="22"/>
        <v>45983</v>
      </c>
      <c r="B240" s="123">
        <f>YEAR(Table13[[#This Row],[Date]])+IF(MONTH(Table13[[#This Row],[Date]])&gt;=4,1,0)</f>
        <v>2026</v>
      </c>
      <c r="C240" s="121">
        <f>YEAR(Table13[[#This Row],[Date]])</f>
        <v>2025</v>
      </c>
      <c r="D240" s="135">
        <f>Table13[[#This Row],[Date]]-DAY(Table13[[#This Row],[Date]])+1</f>
        <v>45962</v>
      </c>
      <c r="E240" s="121">
        <f t="shared" si="19"/>
        <v>30</v>
      </c>
      <c r="F240" s="124"/>
      <c r="G240" s="125"/>
      <c r="H240" s="125"/>
      <c r="I240" s="125"/>
      <c r="J240" s="125"/>
      <c r="K240" s="136"/>
      <c r="L240" s="125"/>
      <c r="M240" s="125" t="str">
        <f>IFERROR(_xlfn.XLOOKUP($A240,Input_Raw!$A:$A,Input_Raw!CG:CG),"")</f>
        <v/>
      </c>
      <c r="N240" s="125" t="str">
        <f>IFERROR(_xlfn.XLOOKUP($A240,Input_Raw!$A:$A,Input_Raw!CH:CH),"")</f>
        <v/>
      </c>
      <c r="O240" s="137" t="str">
        <f t="shared" si="20"/>
        <v/>
      </c>
      <c r="P240" s="137" t="str">
        <f>IFERROR(1-SUMIF(WTG_BD!$F:$F,$A240,WTG_BD!$AA:$AA)/($AA240+SUMIF(WTG_BD!$F:$F,$A240,WTG_BD!$AA:$AA)),"")</f>
        <v/>
      </c>
      <c r="Q240" s="138" t="str">
        <f>IFERROR(1-SUMIF(IGA_BD!$F:$F,$A240,IGA_BD!$V:$V)/($AA240+SUMIF(IGA_BD!$F:$F,$A240,IGA_BD!$V:$V)),"")</f>
        <v/>
      </c>
      <c r="R240" s="143" t="str">
        <f>IFERROR(1-SUMIF(Grid_BD!$F:$F,$A240,Grid_BD!$X:$X)/($AA240+SUMIF(Grid_BD!$F:$F,$A240,Grid_BD!$X:$X)),"")</f>
        <v/>
      </c>
      <c r="S240" s="121"/>
      <c r="T240" s="138"/>
      <c r="U240" s="139"/>
      <c r="V240" s="121"/>
      <c r="W240" s="140" t="str">
        <f>IFERROR(Table13[[#This Row],[Mtr_Net_Exp (KWh)]]/(24*AR240*1000),"")</f>
        <v/>
      </c>
      <c r="X240" s="121" t="str">
        <f>IFERROR(_xlfn.XLOOKUP($A240,Input_Raw!$A:$A,Input_Raw!$CF:$CF),"")</f>
        <v/>
      </c>
      <c r="Y240" s="121" t="str">
        <f>IFERROR(_xlfn.XLOOKUP($A240,Input_Raw!$A:$A,Input_Raw!$CZ:$CZ),"")</f>
        <v/>
      </c>
      <c r="Z240" s="121" t="str">
        <f>IFERROR(_xlfn.XLOOKUP($A240,Input_Raw!$A:$A,Input_Raw!$DA:$DA),"")</f>
        <v/>
      </c>
      <c r="AA240" s="123" t="str">
        <f t="shared" si="21"/>
        <v/>
      </c>
      <c r="AB240" s="121" t="str">
        <f>IFERROR(_xlfn.XLOOKUP($A240,Input_Raw!$A:$A,Input_Raw!$DG:$DG),"")</f>
        <v/>
      </c>
      <c r="AC240" s="141">
        <f>IFERROR(_xlfn.XLOOKUP($D240,'Modelling New'!$D:$D,'Modelling New'!$J:$J),"")</f>
        <v>4.0333333333333332</v>
      </c>
      <c r="AD240" s="123">
        <f>IFERROR(_xlfn.XLOOKUP($D240,'Modelling New'!$D:$D,'Modelling New'!$T:$T)*1000,"")</f>
        <v>162550.46310460661</v>
      </c>
      <c r="AE240" s="140"/>
      <c r="AF240" s="140">
        <f>IFERROR(_xlfn.XLOOKUP($D240,'Modelling New'!$D:$D,'Modelling New'!$W:$W),"")</f>
        <v>8.6832512342204377E-2</v>
      </c>
      <c r="AG240" s="140">
        <f>IFERROR(_xlfn.XLOOKUP($D240,'Modelling New'!$D:$D,'Modelling New'!$AE:$AE),"")</f>
        <v>0.96029999999999993</v>
      </c>
      <c r="AH240" s="140">
        <f>IFERROR(_xlfn.XLOOKUP($D240,'Modelling New'!$D:$D,'Modelling New'!$AF:$AF),"")</f>
        <v>0.995</v>
      </c>
      <c r="AI240" s="121" t="str">
        <f>IFERROR(_xlfn.XLOOKUP($A240,Input_Raw!$A:$A,Input_Raw!$DE:$DE),"")</f>
        <v/>
      </c>
      <c r="AJ240" s="121"/>
      <c r="AK240" s="121"/>
      <c r="AL240" s="121"/>
      <c r="AM240" s="121"/>
      <c r="AN240" s="142" t="str">
        <f>IFERROR(_xlfn.XLOOKUP($A240,Input_Raw!$A:$A,Input_Raw!$DB:$DB),"")</f>
        <v/>
      </c>
      <c r="AO240" s="140" t="str">
        <f>IFERROR((_xlfn.XLOOKUP($A240,'WTG Reactive Power'!$A:$A,'WTG Reactive Power'!$AR:$AR))/X240/1000,"")</f>
        <v/>
      </c>
      <c r="AP240" s="140">
        <f>IFERROR(_xlfn.XLOOKUP($D240,'Modelling New'!$D:$D,'Modelling New'!$AK:$AK),"")</f>
        <v>0.05</v>
      </c>
      <c r="AQ240" s="140">
        <f>IFERROR(_xlfn.XLOOKUP($D240,'Modelling New'!$D:$D,'Modelling New'!$AL:$AL),"")</f>
        <v>0.05</v>
      </c>
      <c r="AR240">
        <f>IFERROR(_xlfn.XLOOKUP($D240,'Modelling New'!$D:$D,'Modelling New'!$N:$N),"")</f>
        <v>78</v>
      </c>
    </row>
    <row r="241" spans="1:44">
      <c r="A241" s="134">
        <f t="shared" si="22"/>
        <v>45984</v>
      </c>
      <c r="B241" s="123">
        <f>YEAR(Table13[[#This Row],[Date]])+IF(MONTH(Table13[[#This Row],[Date]])&gt;=4,1,0)</f>
        <v>2026</v>
      </c>
      <c r="C241" s="121">
        <f>YEAR(Table13[[#This Row],[Date]])</f>
        <v>2025</v>
      </c>
      <c r="D241" s="135">
        <f>Table13[[#This Row],[Date]]-DAY(Table13[[#This Row],[Date]])+1</f>
        <v>45962</v>
      </c>
      <c r="E241" s="121">
        <f t="shared" si="19"/>
        <v>30</v>
      </c>
      <c r="F241" s="124"/>
      <c r="G241" s="125"/>
      <c r="H241" s="125"/>
      <c r="I241" s="125"/>
      <c r="J241" s="125"/>
      <c r="K241" s="136"/>
      <c r="L241" s="125"/>
      <c r="M241" s="125" t="str">
        <f>IFERROR(_xlfn.XLOOKUP($A241,Input_Raw!$A:$A,Input_Raw!CG:CG),"")</f>
        <v/>
      </c>
      <c r="N241" s="125" t="str">
        <f>IFERROR(_xlfn.XLOOKUP($A241,Input_Raw!$A:$A,Input_Raw!CH:CH),"")</f>
        <v/>
      </c>
      <c r="O241" s="137" t="str">
        <f t="shared" si="20"/>
        <v/>
      </c>
      <c r="P241" s="137" t="str">
        <f>IFERROR(1-SUMIF(WTG_BD!$F:$F,$A241,WTG_BD!$AA:$AA)/($AA241+SUMIF(WTG_BD!$F:$F,$A241,WTG_BD!$AA:$AA)),"")</f>
        <v/>
      </c>
      <c r="Q241" s="138" t="str">
        <f>IFERROR(1-SUMIF(IGA_BD!$F:$F,$A241,IGA_BD!$V:$V)/($AA241+SUMIF(IGA_BD!$F:$F,$A241,IGA_BD!$V:$V)),"")</f>
        <v/>
      </c>
      <c r="R241" s="143" t="str">
        <f>IFERROR(1-SUMIF(Grid_BD!$F:$F,$A241,Grid_BD!$X:$X)/($AA241+SUMIF(Grid_BD!$F:$F,$A241,Grid_BD!$X:$X)),"")</f>
        <v/>
      </c>
      <c r="S241" s="121"/>
      <c r="T241" s="138"/>
      <c r="U241" s="139"/>
      <c r="V241" s="121"/>
      <c r="W241" s="140" t="str">
        <f>IFERROR(Table13[[#This Row],[Mtr_Net_Exp (KWh)]]/(24*AR241*1000),"")</f>
        <v/>
      </c>
      <c r="X241" s="121" t="str">
        <f>IFERROR(_xlfn.XLOOKUP($A241,Input_Raw!$A:$A,Input_Raw!$CF:$CF),"")</f>
        <v/>
      </c>
      <c r="Y241" s="121" t="str">
        <f>IFERROR(_xlfn.XLOOKUP($A241,Input_Raw!$A:$A,Input_Raw!$CZ:$CZ),"")</f>
        <v/>
      </c>
      <c r="Z241" s="121" t="str">
        <f>IFERROR(_xlfn.XLOOKUP($A241,Input_Raw!$A:$A,Input_Raw!$DA:$DA),"")</f>
        <v/>
      </c>
      <c r="AA241" s="123" t="str">
        <f t="shared" si="21"/>
        <v/>
      </c>
      <c r="AB241" s="121" t="str">
        <f>IFERROR(_xlfn.XLOOKUP($A241,Input_Raw!$A:$A,Input_Raw!$DG:$DG),"")</f>
        <v/>
      </c>
      <c r="AC241" s="141">
        <f>IFERROR(_xlfn.XLOOKUP($D241,'Modelling New'!$D:$D,'Modelling New'!$J:$J),"")</f>
        <v>4.0333333333333332</v>
      </c>
      <c r="AD241" s="123">
        <f>IFERROR(_xlfn.XLOOKUP($D241,'Modelling New'!$D:$D,'Modelling New'!$T:$T)*1000,"")</f>
        <v>162550.46310460661</v>
      </c>
      <c r="AE241" s="140"/>
      <c r="AF241" s="140">
        <f>IFERROR(_xlfn.XLOOKUP($D241,'Modelling New'!$D:$D,'Modelling New'!$W:$W),"")</f>
        <v>8.6832512342204377E-2</v>
      </c>
      <c r="AG241" s="140">
        <f>IFERROR(_xlfn.XLOOKUP($D241,'Modelling New'!$D:$D,'Modelling New'!$AE:$AE),"")</f>
        <v>0.96029999999999993</v>
      </c>
      <c r="AH241" s="140">
        <f>IFERROR(_xlfn.XLOOKUP($D241,'Modelling New'!$D:$D,'Modelling New'!$AF:$AF),"")</f>
        <v>0.995</v>
      </c>
      <c r="AI241" s="121" t="str">
        <f>IFERROR(_xlfn.XLOOKUP($A241,Input_Raw!$A:$A,Input_Raw!$DE:$DE),"")</f>
        <v/>
      </c>
      <c r="AJ241" s="121"/>
      <c r="AK241" s="121"/>
      <c r="AL241" s="121"/>
      <c r="AM241" s="121"/>
      <c r="AN241" s="142" t="str">
        <f>IFERROR(_xlfn.XLOOKUP($A241,Input_Raw!$A:$A,Input_Raw!$DB:$DB),"")</f>
        <v/>
      </c>
      <c r="AO241" s="140" t="str">
        <f>IFERROR((_xlfn.XLOOKUP($A241,'WTG Reactive Power'!$A:$A,'WTG Reactive Power'!$AR:$AR))/X241/1000,"")</f>
        <v/>
      </c>
      <c r="AP241" s="140">
        <f>IFERROR(_xlfn.XLOOKUP($D241,'Modelling New'!$D:$D,'Modelling New'!$AK:$AK),"")</f>
        <v>0.05</v>
      </c>
      <c r="AQ241" s="140">
        <f>IFERROR(_xlfn.XLOOKUP($D241,'Modelling New'!$D:$D,'Modelling New'!$AL:$AL),"")</f>
        <v>0.05</v>
      </c>
      <c r="AR241">
        <f>IFERROR(_xlfn.XLOOKUP($D241,'Modelling New'!$D:$D,'Modelling New'!$N:$N),"")</f>
        <v>78</v>
      </c>
    </row>
    <row r="242" spans="1:44">
      <c r="A242" s="134">
        <f t="shared" si="22"/>
        <v>45985</v>
      </c>
      <c r="B242" s="123">
        <f>YEAR(Table13[[#This Row],[Date]])+IF(MONTH(Table13[[#This Row],[Date]])&gt;=4,1,0)</f>
        <v>2026</v>
      </c>
      <c r="C242" s="121">
        <f>YEAR(Table13[[#This Row],[Date]])</f>
        <v>2025</v>
      </c>
      <c r="D242" s="135">
        <f>Table13[[#This Row],[Date]]-DAY(Table13[[#This Row],[Date]])+1</f>
        <v>45962</v>
      </c>
      <c r="E242" s="121">
        <f t="shared" si="19"/>
        <v>30</v>
      </c>
      <c r="F242" s="124"/>
      <c r="G242" s="125"/>
      <c r="H242" s="125"/>
      <c r="I242" s="125"/>
      <c r="J242" s="125"/>
      <c r="K242" s="136"/>
      <c r="L242" s="125"/>
      <c r="M242" s="125" t="str">
        <f>IFERROR(_xlfn.XLOOKUP($A242,Input_Raw!$A:$A,Input_Raw!CG:CG),"")</f>
        <v/>
      </c>
      <c r="N242" s="125" t="str">
        <f>IFERROR(_xlfn.XLOOKUP($A242,Input_Raw!$A:$A,Input_Raw!CH:CH),"")</f>
        <v/>
      </c>
      <c r="O242" s="137" t="str">
        <f t="shared" si="20"/>
        <v/>
      </c>
      <c r="P242" s="137" t="str">
        <f>IFERROR(1-SUMIF(WTG_BD!$F:$F,$A242,WTG_BD!$AA:$AA)/($AA242+SUMIF(WTG_BD!$F:$F,$A242,WTG_BD!$AA:$AA)),"")</f>
        <v/>
      </c>
      <c r="Q242" s="138" t="str">
        <f>IFERROR(1-SUMIF(IGA_BD!$F:$F,$A242,IGA_BD!$V:$V)/($AA242+SUMIF(IGA_BD!$F:$F,$A242,IGA_BD!$V:$V)),"")</f>
        <v/>
      </c>
      <c r="R242" s="143" t="str">
        <f>IFERROR(1-SUMIF(Grid_BD!$F:$F,$A242,Grid_BD!$X:$X)/($AA242+SUMIF(Grid_BD!$F:$F,$A242,Grid_BD!$X:$X)),"")</f>
        <v/>
      </c>
      <c r="S242" s="121"/>
      <c r="T242" s="138"/>
      <c r="U242" s="139"/>
      <c r="V242" s="121"/>
      <c r="W242" s="140" t="str">
        <f>IFERROR(Table13[[#This Row],[Mtr_Net_Exp (KWh)]]/(24*AR242*1000),"")</f>
        <v/>
      </c>
      <c r="X242" s="121" t="str">
        <f>IFERROR(_xlfn.XLOOKUP($A242,Input_Raw!$A:$A,Input_Raw!$CF:$CF),"")</f>
        <v/>
      </c>
      <c r="Y242" s="121" t="str">
        <f>IFERROR(_xlfn.XLOOKUP($A242,Input_Raw!$A:$A,Input_Raw!$CZ:$CZ),"")</f>
        <v/>
      </c>
      <c r="Z242" s="121" t="str">
        <f>IFERROR(_xlfn.XLOOKUP($A242,Input_Raw!$A:$A,Input_Raw!$DA:$DA),"")</f>
        <v/>
      </c>
      <c r="AA242" s="123" t="str">
        <f t="shared" si="21"/>
        <v/>
      </c>
      <c r="AB242" s="121" t="str">
        <f>IFERROR(_xlfn.XLOOKUP($A242,Input_Raw!$A:$A,Input_Raw!$DG:$DG),"")</f>
        <v/>
      </c>
      <c r="AC242" s="141">
        <f>IFERROR(_xlfn.XLOOKUP($D242,'Modelling New'!$D:$D,'Modelling New'!$J:$J),"")</f>
        <v>4.0333333333333332</v>
      </c>
      <c r="AD242" s="123">
        <f>IFERROR(_xlfn.XLOOKUP($D242,'Modelling New'!$D:$D,'Modelling New'!$T:$T)*1000,"")</f>
        <v>162550.46310460661</v>
      </c>
      <c r="AE242" s="140"/>
      <c r="AF242" s="140">
        <f>IFERROR(_xlfn.XLOOKUP($D242,'Modelling New'!$D:$D,'Modelling New'!$W:$W),"")</f>
        <v>8.6832512342204377E-2</v>
      </c>
      <c r="AG242" s="140">
        <f>IFERROR(_xlfn.XLOOKUP($D242,'Modelling New'!$D:$D,'Modelling New'!$AE:$AE),"")</f>
        <v>0.96029999999999993</v>
      </c>
      <c r="AH242" s="140">
        <f>IFERROR(_xlfn.XLOOKUP($D242,'Modelling New'!$D:$D,'Modelling New'!$AF:$AF),"")</f>
        <v>0.995</v>
      </c>
      <c r="AI242" s="121" t="str">
        <f>IFERROR(_xlfn.XLOOKUP($A242,Input_Raw!$A:$A,Input_Raw!$DE:$DE),"")</f>
        <v/>
      </c>
      <c r="AJ242" s="121"/>
      <c r="AK242" s="121"/>
      <c r="AL242" s="121"/>
      <c r="AM242" s="121"/>
      <c r="AN242" s="142" t="str">
        <f>IFERROR(_xlfn.XLOOKUP($A242,Input_Raw!$A:$A,Input_Raw!$DB:$DB),"")</f>
        <v/>
      </c>
      <c r="AO242" s="140" t="str">
        <f>IFERROR((_xlfn.XLOOKUP($A242,'WTG Reactive Power'!$A:$A,'WTG Reactive Power'!$AR:$AR))/X242/1000,"")</f>
        <v/>
      </c>
      <c r="AP242" s="140">
        <f>IFERROR(_xlfn.XLOOKUP($D242,'Modelling New'!$D:$D,'Modelling New'!$AK:$AK),"")</f>
        <v>0.05</v>
      </c>
      <c r="AQ242" s="140">
        <f>IFERROR(_xlfn.XLOOKUP($D242,'Modelling New'!$D:$D,'Modelling New'!$AL:$AL),"")</f>
        <v>0.05</v>
      </c>
      <c r="AR242">
        <f>IFERROR(_xlfn.XLOOKUP($D242,'Modelling New'!$D:$D,'Modelling New'!$N:$N),"")</f>
        <v>78</v>
      </c>
    </row>
    <row r="243" spans="1:44">
      <c r="A243" s="134">
        <f t="shared" si="22"/>
        <v>45986</v>
      </c>
      <c r="B243" s="123">
        <f>YEAR(Table13[[#This Row],[Date]])+IF(MONTH(Table13[[#This Row],[Date]])&gt;=4,1,0)</f>
        <v>2026</v>
      </c>
      <c r="C243" s="121">
        <f>YEAR(Table13[[#This Row],[Date]])</f>
        <v>2025</v>
      </c>
      <c r="D243" s="135">
        <f>Table13[[#This Row],[Date]]-DAY(Table13[[#This Row],[Date]])+1</f>
        <v>45962</v>
      </c>
      <c r="E243" s="121">
        <f t="shared" si="19"/>
        <v>30</v>
      </c>
      <c r="F243" s="124"/>
      <c r="G243" s="125"/>
      <c r="H243" s="125"/>
      <c r="I243" s="125"/>
      <c r="J243" s="125"/>
      <c r="K243" s="136"/>
      <c r="L243" s="125"/>
      <c r="M243" s="125" t="str">
        <f>IFERROR(_xlfn.XLOOKUP($A243,Input_Raw!$A:$A,Input_Raw!CG:CG),"")</f>
        <v/>
      </c>
      <c r="N243" s="125" t="str">
        <f>IFERROR(_xlfn.XLOOKUP($A243,Input_Raw!$A:$A,Input_Raw!CH:CH),"")</f>
        <v/>
      </c>
      <c r="O243" s="137" t="str">
        <f t="shared" si="20"/>
        <v/>
      </c>
      <c r="P243" s="137" t="str">
        <f>IFERROR(1-SUMIF(WTG_BD!$F:$F,$A243,WTG_BD!$AA:$AA)/($AA243+SUMIF(WTG_BD!$F:$F,$A243,WTG_BD!$AA:$AA)),"")</f>
        <v/>
      </c>
      <c r="Q243" s="138" t="str">
        <f>IFERROR(1-SUMIF(IGA_BD!$F:$F,$A243,IGA_BD!$V:$V)/($AA243+SUMIF(IGA_BD!$F:$F,$A243,IGA_BD!$V:$V)),"")</f>
        <v/>
      </c>
      <c r="R243" s="143" t="str">
        <f>IFERROR(1-SUMIF(Grid_BD!$F:$F,$A243,Grid_BD!$X:$X)/($AA243+SUMIF(Grid_BD!$F:$F,$A243,Grid_BD!$X:$X)),"")</f>
        <v/>
      </c>
      <c r="S243" s="121"/>
      <c r="T243" s="138"/>
      <c r="U243" s="139"/>
      <c r="V243" s="121"/>
      <c r="W243" s="140" t="str">
        <f>IFERROR(Table13[[#This Row],[Mtr_Net_Exp (KWh)]]/(24*AR243*1000),"")</f>
        <v/>
      </c>
      <c r="X243" s="121" t="str">
        <f>IFERROR(_xlfn.XLOOKUP($A243,Input_Raw!$A:$A,Input_Raw!$CF:$CF),"")</f>
        <v/>
      </c>
      <c r="Y243" s="121" t="str">
        <f>IFERROR(_xlfn.XLOOKUP($A243,Input_Raw!$A:$A,Input_Raw!$CZ:$CZ),"")</f>
        <v/>
      </c>
      <c r="Z243" s="121" t="str">
        <f>IFERROR(_xlfn.XLOOKUP($A243,Input_Raw!$A:$A,Input_Raw!$DA:$DA),"")</f>
        <v/>
      </c>
      <c r="AA243" s="123" t="str">
        <f t="shared" si="21"/>
        <v/>
      </c>
      <c r="AB243" s="121" t="str">
        <f>IFERROR(_xlfn.XLOOKUP($A243,Input_Raw!$A:$A,Input_Raw!$DG:$DG),"")</f>
        <v/>
      </c>
      <c r="AC243" s="141">
        <f>IFERROR(_xlfn.XLOOKUP($D243,'Modelling New'!$D:$D,'Modelling New'!$J:$J),"")</f>
        <v>4.0333333333333332</v>
      </c>
      <c r="AD243" s="123">
        <f>IFERROR(_xlfn.XLOOKUP($D243,'Modelling New'!$D:$D,'Modelling New'!$T:$T)*1000,"")</f>
        <v>162550.46310460661</v>
      </c>
      <c r="AE243" s="140"/>
      <c r="AF243" s="140">
        <f>IFERROR(_xlfn.XLOOKUP($D243,'Modelling New'!$D:$D,'Modelling New'!$W:$W),"")</f>
        <v>8.6832512342204377E-2</v>
      </c>
      <c r="AG243" s="140">
        <f>IFERROR(_xlfn.XLOOKUP($D243,'Modelling New'!$D:$D,'Modelling New'!$AE:$AE),"")</f>
        <v>0.96029999999999993</v>
      </c>
      <c r="AH243" s="140">
        <f>IFERROR(_xlfn.XLOOKUP($D243,'Modelling New'!$D:$D,'Modelling New'!$AF:$AF),"")</f>
        <v>0.995</v>
      </c>
      <c r="AI243" s="121" t="str">
        <f>IFERROR(_xlfn.XLOOKUP($A243,Input_Raw!$A:$A,Input_Raw!$DE:$DE),"")</f>
        <v/>
      </c>
      <c r="AJ243" s="121"/>
      <c r="AK243" s="121"/>
      <c r="AL243" s="121"/>
      <c r="AM243" s="121"/>
      <c r="AN243" s="142" t="str">
        <f>IFERROR(_xlfn.XLOOKUP($A243,Input_Raw!$A:$A,Input_Raw!$DB:$DB),"")</f>
        <v/>
      </c>
      <c r="AO243" s="140" t="str">
        <f>IFERROR((_xlfn.XLOOKUP($A243,'WTG Reactive Power'!$A:$A,'WTG Reactive Power'!$AR:$AR))/X243/1000,"")</f>
        <v/>
      </c>
      <c r="AP243" s="140">
        <f>IFERROR(_xlfn.XLOOKUP($D243,'Modelling New'!$D:$D,'Modelling New'!$AK:$AK),"")</f>
        <v>0.05</v>
      </c>
      <c r="AQ243" s="140">
        <f>IFERROR(_xlfn.XLOOKUP($D243,'Modelling New'!$D:$D,'Modelling New'!$AL:$AL),"")</f>
        <v>0.05</v>
      </c>
      <c r="AR243">
        <f>IFERROR(_xlfn.XLOOKUP($D243,'Modelling New'!$D:$D,'Modelling New'!$N:$N),"")</f>
        <v>78</v>
      </c>
    </row>
    <row r="244" spans="1:44">
      <c r="A244" s="134">
        <f t="shared" si="22"/>
        <v>45987</v>
      </c>
      <c r="B244" s="123">
        <f>YEAR(Table13[[#This Row],[Date]])+IF(MONTH(Table13[[#This Row],[Date]])&gt;=4,1,0)</f>
        <v>2026</v>
      </c>
      <c r="C244" s="121">
        <f>YEAR(Table13[[#This Row],[Date]])</f>
        <v>2025</v>
      </c>
      <c r="D244" s="135">
        <f>Table13[[#This Row],[Date]]-DAY(Table13[[#This Row],[Date]])+1</f>
        <v>45962</v>
      </c>
      <c r="E244" s="121">
        <f t="shared" si="19"/>
        <v>30</v>
      </c>
      <c r="F244" s="124"/>
      <c r="G244" s="125"/>
      <c r="H244" s="125"/>
      <c r="I244" s="125"/>
      <c r="J244" s="125"/>
      <c r="K244" s="136"/>
      <c r="L244" s="125"/>
      <c r="M244" s="125" t="str">
        <f>IFERROR(_xlfn.XLOOKUP($A244,Input_Raw!$A:$A,Input_Raw!CG:CG),"")</f>
        <v/>
      </c>
      <c r="N244" s="125" t="str">
        <f>IFERROR(_xlfn.XLOOKUP($A244,Input_Raw!$A:$A,Input_Raw!CH:CH),"")</f>
        <v/>
      </c>
      <c r="O244" s="137" t="str">
        <f t="shared" si="20"/>
        <v/>
      </c>
      <c r="P244" s="137" t="str">
        <f>IFERROR(1-SUMIF(WTG_BD!$F:$F,$A244,WTG_BD!$AA:$AA)/($AA244+SUMIF(WTG_BD!$F:$F,$A244,WTG_BD!$AA:$AA)),"")</f>
        <v/>
      </c>
      <c r="Q244" s="138" t="str">
        <f>IFERROR(1-SUMIF(IGA_BD!$F:$F,$A244,IGA_BD!$V:$V)/($AA244+SUMIF(IGA_BD!$F:$F,$A244,IGA_BD!$V:$V)),"")</f>
        <v/>
      </c>
      <c r="R244" s="143" t="str">
        <f>IFERROR(1-SUMIF(Grid_BD!$F:$F,$A244,Grid_BD!$X:$X)/($AA244+SUMIF(Grid_BD!$F:$F,$A244,Grid_BD!$X:$X)),"")</f>
        <v/>
      </c>
      <c r="S244" s="121"/>
      <c r="T244" s="138"/>
      <c r="U244" s="139"/>
      <c r="V244" s="121"/>
      <c r="W244" s="140" t="str">
        <f>IFERROR(Table13[[#This Row],[Mtr_Net_Exp (KWh)]]/(24*AR244*1000),"")</f>
        <v/>
      </c>
      <c r="X244" s="121" t="str">
        <f>IFERROR(_xlfn.XLOOKUP($A244,Input_Raw!$A:$A,Input_Raw!$CF:$CF),"")</f>
        <v/>
      </c>
      <c r="Y244" s="121" t="str">
        <f>IFERROR(_xlfn.XLOOKUP($A244,Input_Raw!$A:$A,Input_Raw!$CZ:$CZ),"")</f>
        <v/>
      </c>
      <c r="Z244" s="121" t="str">
        <f>IFERROR(_xlfn.XLOOKUP($A244,Input_Raw!$A:$A,Input_Raw!$DA:$DA),"")</f>
        <v/>
      </c>
      <c r="AA244" s="123" t="str">
        <f t="shared" si="21"/>
        <v/>
      </c>
      <c r="AB244" s="121" t="str">
        <f>IFERROR(_xlfn.XLOOKUP($A244,Input_Raw!$A:$A,Input_Raw!$DG:$DG),"")</f>
        <v/>
      </c>
      <c r="AC244" s="141">
        <f>IFERROR(_xlfn.XLOOKUP($D244,'Modelling New'!$D:$D,'Modelling New'!$J:$J),"")</f>
        <v>4.0333333333333332</v>
      </c>
      <c r="AD244" s="123">
        <f>IFERROR(_xlfn.XLOOKUP($D244,'Modelling New'!$D:$D,'Modelling New'!$T:$T)*1000,"")</f>
        <v>162550.46310460661</v>
      </c>
      <c r="AE244" s="140"/>
      <c r="AF244" s="140">
        <f>IFERROR(_xlfn.XLOOKUP($D244,'Modelling New'!$D:$D,'Modelling New'!$W:$W),"")</f>
        <v>8.6832512342204377E-2</v>
      </c>
      <c r="AG244" s="140">
        <f>IFERROR(_xlfn.XLOOKUP($D244,'Modelling New'!$D:$D,'Modelling New'!$AE:$AE),"")</f>
        <v>0.96029999999999993</v>
      </c>
      <c r="AH244" s="140">
        <f>IFERROR(_xlfn.XLOOKUP($D244,'Modelling New'!$D:$D,'Modelling New'!$AF:$AF),"")</f>
        <v>0.995</v>
      </c>
      <c r="AI244" s="121" t="str">
        <f>IFERROR(_xlfn.XLOOKUP($A244,Input_Raw!$A:$A,Input_Raw!$DE:$DE),"")</f>
        <v/>
      </c>
      <c r="AJ244" s="121"/>
      <c r="AK244" s="121"/>
      <c r="AL244" s="121"/>
      <c r="AM244" s="121"/>
      <c r="AN244" s="142" t="str">
        <f>IFERROR(_xlfn.XLOOKUP($A244,Input_Raw!$A:$A,Input_Raw!$DB:$DB),"")</f>
        <v/>
      </c>
      <c r="AO244" s="140" t="str">
        <f>IFERROR((_xlfn.XLOOKUP($A244,'WTG Reactive Power'!$A:$A,'WTG Reactive Power'!$AR:$AR))/X244/1000,"")</f>
        <v/>
      </c>
      <c r="AP244" s="140">
        <f>IFERROR(_xlfn.XLOOKUP($D244,'Modelling New'!$D:$D,'Modelling New'!$AK:$AK),"")</f>
        <v>0.05</v>
      </c>
      <c r="AQ244" s="140">
        <f>IFERROR(_xlfn.XLOOKUP($D244,'Modelling New'!$D:$D,'Modelling New'!$AL:$AL),"")</f>
        <v>0.05</v>
      </c>
      <c r="AR244">
        <f>IFERROR(_xlfn.XLOOKUP($D244,'Modelling New'!$D:$D,'Modelling New'!$N:$N),"")</f>
        <v>78</v>
      </c>
    </row>
    <row r="245" spans="1:44">
      <c r="A245" s="134">
        <f t="shared" si="22"/>
        <v>45988</v>
      </c>
      <c r="B245" s="123">
        <f>YEAR(Table13[[#This Row],[Date]])+IF(MONTH(Table13[[#This Row],[Date]])&gt;=4,1,0)</f>
        <v>2026</v>
      </c>
      <c r="C245" s="121">
        <f>YEAR(Table13[[#This Row],[Date]])</f>
        <v>2025</v>
      </c>
      <c r="D245" s="135">
        <f>Table13[[#This Row],[Date]]-DAY(Table13[[#This Row],[Date]])+1</f>
        <v>45962</v>
      </c>
      <c r="E245" s="121">
        <f t="shared" si="19"/>
        <v>30</v>
      </c>
      <c r="F245" s="124"/>
      <c r="G245" s="125"/>
      <c r="H245" s="125"/>
      <c r="I245" s="125"/>
      <c r="J245" s="125"/>
      <c r="K245" s="136"/>
      <c r="L245" s="125"/>
      <c r="M245" s="125" t="str">
        <f>IFERROR(_xlfn.XLOOKUP($A245,Input_Raw!$A:$A,Input_Raw!CG:CG),"")</f>
        <v/>
      </c>
      <c r="N245" s="125" t="str">
        <f>IFERROR(_xlfn.XLOOKUP($A245,Input_Raw!$A:$A,Input_Raw!CH:CH),"")</f>
        <v/>
      </c>
      <c r="O245" s="137" t="str">
        <f t="shared" si="20"/>
        <v/>
      </c>
      <c r="P245" s="137" t="str">
        <f>IFERROR(1-SUMIF(WTG_BD!$F:$F,$A245,WTG_BD!$AA:$AA)/($AA245+SUMIF(WTG_BD!$F:$F,$A245,WTG_BD!$AA:$AA)),"")</f>
        <v/>
      </c>
      <c r="Q245" s="138" t="str">
        <f>IFERROR(1-SUMIF(IGA_BD!$F:$F,$A245,IGA_BD!$V:$V)/($AA245+SUMIF(IGA_BD!$F:$F,$A245,IGA_BD!$V:$V)),"")</f>
        <v/>
      </c>
      <c r="R245" s="143" t="str">
        <f>IFERROR(1-SUMIF(Grid_BD!$F:$F,$A245,Grid_BD!$X:$X)/($AA245+SUMIF(Grid_BD!$F:$F,$A245,Grid_BD!$X:$X)),"")</f>
        <v/>
      </c>
      <c r="S245" s="121"/>
      <c r="T245" s="138"/>
      <c r="U245" s="139"/>
      <c r="V245" s="121"/>
      <c r="W245" s="140" t="str">
        <f>IFERROR(Table13[[#This Row],[Mtr_Net_Exp (KWh)]]/(24*AR245*1000),"")</f>
        <v/>
      </c>
      <c r="X245" s="121" t="str">
        <f>IFERROR(_xlfn.XLOOKUP($A245,Input_Raw!$A:$A,Input_Raw!$CF:$CF),"")</f>
        <v/>
      </c>
      <c r="Y245" s="121" t="str">
        <f>IFERROR(_xlfn.XLOOKUP($A245,Input_Raw!$A:$A,Input_Raw!$CZ:$CZ),"")</f>
        <v/>
      </c>
      <c r="Z245" s="121" t="str">
        <f>IFERROR(_xlfn.XLOOKUP($A245,Input_Raw!$A:$A,Input_Raw!$DA:$DA),"")</f>
        <v/>
      </c>
      <c r="AA245" s="123" t="str">
        <f t="shared" si="21"/>
        <v/>
      </c>
      <c r="AB245" s="121" t="str">
        <f>IFERROR(_xlfn.XLOOKUP($A245,Input_Raw!$A:$A,Input_Raw!$DG:$DG),"")</f>
        <v/>
      </c>
      <c r="AC245" s="141">
        <f>IFERROR(_xlfn.XLOOKUP($D245,'Modelling New'!$D:$D,'Modelling New'!$J:$J),"")</f>
        <v>4.0333333333333332</v>
      </c>
      <c r="AD245" s="123">
        <f>IFERROR(_xlfn.XLOOKUP($D245,'Modelling New'!$D:$D,'Modelling New'!$T:$T)*1000,"")</f>
        <v>162550.46310460661</v>
      </c>
      <c r="AE245" s="140"/>
      <c r="AF245" s="140">
        <f>IFERROR(_xlfn.XLOOKUP($D245,'Modelling New'!$D:$D,'Modelling New'!$W:$W),"")</f>
        <v>8.6832512342204377E-2</v>
      </c>
      <c r="AG245" s="140">
        <f>IFERROR(_xlfn.XLOOKUP($D245,'Modelling New'!$D:$D,'Modelling New'!$AE:$AE),"")</f>
        <v>0.96029999999999993</v>
      </c>
      <c r="AH245" s="140">
        <f>IFERROR(_xlfn.XLOOKUP($D245,'Modelling New'!$D:$D,'Modelling New'!$AF:$AF),"")</f>
        <v>0.995</v>
      </c>
      <c r="AI245" s="121" t="str">
        <f>IFERROR(_xlfn.XLOOKUP($A245,Input_Raw!$A:$A,Input_Raw!$DE:$DE),"")</f>
        <v/>
      </c>
      <c r="AJ245" s="121"/>
      <c r="AK245" s="121"/>
      <c r="AL245" s="121"/>
      <c r="AM245" s="121"/>
      <c r="AN245" s="142" t="str">
        <f>IFERROR(_xlfn.XLOOKUP($A245,Input_Raw!$A:$A,Input_Raw!$DB:$DB),"")</f>
        <v/>
      </c>
      <c r="AO245" s="140" t="str">
        <f>IFERROR((_xlfn.XLOOKUP($A245,'WTG Reactive Power'!$A:$A,'WTG Reactive Power'!$AR:$AR))/X245/1000,"")</f>
        <v/>
      </c>
      <c r="AP245" s="140">
        <f>IFERROR(_xlfn.XLOOKUP($D245,'Modelling New'!$D:$D,'Modelling New'!$AK:$AK),"")</f>
        <v>0.05</v>
      </c>
      <c r="AQ245" s="140">
        <f>IFERROR(_xlfn.XLOOKUP($D245,'Modelling New'!$D:$D,'Modelling New'!$AL:$AL),"")</f>
        <v>0.05</v>
      </c>
      <c r="AR245">
        <f>IFERROR(_xlfn.XLOOKUP($D245,'Modelling New'!$D:$D,'Modelling New'!$N:$N),"")</f>
        <v>78</v>
      </c>
    </row>
    <row r="246" spans="1:44">
      <c r="A246" s="134">
        <f t="shared" si="22"/>
        <v>45989</v>
      </c>
      <c r="B246" s="123">
        <f>YEAR(Table13[[#This Row],[Date]])+IF(MONTH(Table13[[#This Row],[Date]])&gt;=4,1,0)</f>
        <v>2026</v>
      </c>
      <c r="C246" s="121">
        <f>YEAR(Table13[[#This Row],[Date]])</f>
        <v>2025</v>
      </c>
      <c r="D246" s="135">
        <f>Table13[[#This Row],[Date]]-DAY(Table13[[#This Row],[Date]])+1</f>
        <v>45962</v>
      </c>
      <c r="E246" s="121">
        <f t="shared" si="19"/>
        <v>30</v>
      </c>
      <c r="F246" s="124"/>
      <c r="G246" s="125"/>
      <c r="H246" s="125"/>
      <c r="I246" s="125"/>
      <c r="J246" s="125"/>
      <c r="K246" s="136"/>
      <c r="L246" s="125"/>
      <c r="M246" s="125" t="str">
        <f>IFERROR(_xlfn.XLOOKUP($A246,Input_Raw!$A:$A,Input_Raw!CG:CG),"")</f>
        <v/>
      </c>
      <c r="N246" s="125" t="str">
        <f>IFERROR(_xlfn.XLOOKUP($A246,Input_Raw!$A:$A,Input_Raw!CH:CH),"")</f>
        <v/>
      </c>
      <c r="O246" s="137" t="str">
        <f t="shared" si="20"/>
        <v/>
      </c>
      <c r="P246" s="137" t="str">
        <f>IFERROR(1-SUMIF(WTG_BD!$F:$F,$A246,WTG_BD!$AA:$AA)/($AA246+SUMIF(WTG_BD!$F:$F,$A246,WTG_BD!$AA:$AA)),"")</f>
        <v/>
      </c>
      <c r="Q246" s="138" t="str">
        <f>IFERROR(1-SUMIF(IGA_BD!$F:$F,$A246,IGA_BD!$V:$V)/($AA246+SUMIF(IGA_BD!$F:$F,$A246,IGA_BD!$V:$V)),"")</f>
        <v/>
      </c>
      <c r="R246" s="143" t="str">
        <f>IFERROR(1-SUMIF(Grid_BD!$F:$F,$A246,Grid_BD!$X:$X)/($AA246+SUMIF(Grid_BD!$F:$F,$A246,Grid_BD!$X:$X)),"")</f>
        <v/>
      </c>
      <c r="S246" s="121"/>
      <c r="T246" s="138"/>
      <c r="U246" s="139"/>
      <c r="V246" s="121"/>
      <c r="W246" s="140" t="str">
        <f>IFERROR(Table13[[#This Row],[Mtr_Net_Exp (KWh)]]/(24*AR246*1000),"")</f>
        <v/>
      </c>
      <c r="X246" s="121" t="str">
        <f>IFERROR(_xlfn.XLOOKUP($A246,Input_Raw!$A:$A,Input_Raw!$CF:$CF),"")</f>
        <v/>
      </c>
      <c r="Y246" s="121" t="str">
        <f>IFERROR(_xlfn.XLOOKUP($A246,Input_Raw!$A:$A,Input_Raw!$CZ:$CZ),"")</f>
        <v/>
      </c>
      <c r="Z246" s="121" t="str">
        <f>IFERROR(_xlfn.XLOOKUP($A246,Input_Raw!$A:$A,Input_Raw!$DA:$DA),"")</f>
        <v/>
      </c>
      <c r="AA246" s="123" t="str">
        <f t="shared" si="21"/>
        <v/>
      </c>
      <c r="AB246" s="121" t="str">
        <f>IFERROR(_xlfn.XLOOKUP($A246,Input_Raw!$A:$A,Input_Raw!$DG:$DG),"")</f>
        <v/>
      </c>
      <c r="AC246" s="141">
        <f>IFERROR(_xlfn.XLOOKUP($D246,'Modelling New'!$D:$D,'Modelling New'!$J:$J),"")</f>
        <v>4.0333333333333332</v>
      </c>
      <c r="AD246" s="123">
        <f>IFERROR(_xlfn.XLOOKUP($D246,'Modelling New'!$D:$D,'Modelling New'!$T:$T)*1000,"")</f>
        <v>162550.46310460661</v>
      </c>
      <c r="AE246" s="140"/>
      <c r="AF246" s="140">
        <f>IFERROR(_xlfn.XLOOKUP($D246,'Modelling New'!$D:$D,'Modelling New'!$W:$W),"")</f>
        <v>8.6832512342204377E-2</v>
      </c>
      <c r="AG246" s="140">
        <f>IFERROR(_xlfn.XLOOKUP($D246,'Modelling New'!$D:$D,'Modelling New'!$AE:$AE),"")</f>
        <v>0.96029999999999993</v>
      </c>
      <c r="AH246" s="140">
        <f>IFERROR(_xlfn.XLOOKUP($D246,'Modelling New'!$D:$D,'Modelling New'!$AF:$AF),"")</f>
        <v>0.995</v>
      </c>
      <c r="AI246" s="121" t="str">
        <f>IFERROR(_xlfn.XLOOKUP($A246,Input_Raw!$A:$A,Input_Raw!$DE:$DE),"")</f>
        <v/>
      </c>
      <c r="AJ246" s="121"/>
      <c r="AK246" s="121"/>
      <c r="AL246" s="121"/>
      <c r="AM246" s="121"/>
      <c r="AN246" s="142" t="str">
        <f>IFERROR(_xlfn.XLOOKUP($A246,Input_Raw!$A:$A,Input_Raw!$DB:$DB),"")</f>
        <v/>
      </c>
      <c r="AO246" s="140" t="str">
        <f>IFERROR((_xlfn.XLOOKUP($A246,'WTG Reactive Power'!$A:$A,'WTG Reactive Power'!$AR:$AR))/X246/1000,"")</f>
        <v/>
      </c>
      <c r="AP246" s="140">
        <f>IFERROR(_xlfn.XLOOKUP($D246,'Modelling New'!$D:$D,'Modelling New'!$AK:$AK),"")</f>
        <v>0.05</v>
      </c>
      <c r="AQ246" s="140">
        <f>IFERROR(_xlfn.XLOOKUP($D246,'Modelling New'!$D:$D,'Modelling New'!$AL:$AL),"")</f>
        <v>0.05</v>
      </c>
      <c r="AR246">
        <f>IFERROR(_xlfn.XLOOKUP($D246,'Modelling New'!$D:$D,'Modelling New'!$N:$N),"")</f>
        <v>78</v>
      </c>
    </row>
    <row r="247" spans="1:44">
      <c r="A247" s="134">
        <f t="shared" si="22"/>
        <v>45990</v>
      </c>
      <c r="B247" s="123">
        <f>YEAR(Table13[[#This Row],[Date]])+IF(MONTH(Table13[[#This Row],[Date]])&gt;=4,1,0)</f>
        <v>2026</v>
      </c>
      <c r="C247" s="121">
        <f>YEAR(Table13[[#This Row],[Date]])</f>
        <v>2025</v>
      </c>
      <c r="D247" s="135">
        <f>Table13[[#This Row],[Date]]-DAY(Table13[[#This Row],[Date]])+1</f>
        <v>45962</v>
      </c>
      <c r="E247" s="121">
        <f t="shared" si="19"/>
        <v>30</v>
      </c>
      <c r="F247" s="124"/>
      <c r="G247" s="125"/>
      <c r="H247" s="125"/>
      <c r="I247" s="125"/>
      <c r="J247" s="125"/>
      <c r="K247" s="136"/>
      <c r="L247" s="125"/>
      <c r="M247" s="125" t="str">
        <f>IFERROR(_xlfn.XLOOKUP($A247,Input_Raw!$A:$A,Input_Raw!CG:CG),"")</f>
        <v/>
      </c>
      <c r="N247" s="125" t="str">
        <f>IFERROR(_xlfn.XLOOKUP($A247,Input_Raw!$A:$A,Input_Raw!CH:CH),"")</f>
        <v/>
      </c>
      <c r="O247" s="137" t="str">
        <f t="shared" si="20"/>
        <v/>
      </c>
      <c r="P247" s="137" t="str">
        <f>IFERROR(1-SUMIF(WTG_BD!$F:$F,$A247,WTG_BD!$AA:$AA)/($AA247+SUMIF(WTG_BD!$F:$F,$A247,WTG_BD!$AA:$AA)),"")</f>
        <v/>
      </c>
      <c r="Q247" s="138" t="str">
        <f>IFERROR(1-SUMIF(IGA_BD!$F:$F,$A247,IGA_BD!$V:$V)/($AA247+SUMIF(IGA_BD!$F:$F,$A247,IGA_BD!$V:$V)),"")</f>
        <v/>
      </c>
      <c r="R247" s="143" t="str">
        <f>IFERROR(1-SUMIF(Grid_BD!$F:$F,$A247,Grid_BD!$X:$X)/($AA247+SUMIF(Grid_BD!$F:$F,$A247,Grid_BD!$X:$X)),"")</f>
        <v/>
      </c>
      <c r="S247" s="121"/>
      <c r="T247" s="138"/>
      <c r="U247" s="139"/>
      <c r="V247" s="121"/>
      <c r="W247" s="140" t="str">
        <f>IFERROR(Table13[[#This Row],[Mtr_Net_Exp (KWh)]]/(24*AR247*1000),"")</f>
        <v/>
      </c>
      <c r="X247" s="121" t="str">
        <f>IFERROR(_xlfn.XLOOKUP($A247,Input_Raw!$A:$A,Input_Raw!$CF:$CF),"")</f>
        <v/>
      </c>
      <c r="Y247" s="121" t="str">
        <f>IFERROR(_xlfn.XLOOKUP($A247,Input_Raw!$A:$A,Input_Raw!$CZ:$CZ),"")</f>
        <v/>
      </c>
      <c r="Z247" s="121" t="str">
        <f>IFERROR(_xlfn.XLOOKUP($A247,Input_Raw!$A:$A,Input_Raw!$DA:$DA),"")</f>
        <v/>
      </c>
      <c r="AA247" s="123" t="str">
        <f t="shared" si="21"/>
        <v/>
      </c>
      <c r="AB247" s="121" t="str">
        <f>IFERROR(_xlfn.XLOOKUP($A247,Input_Raw!$A:$A,Input_Raw!$DG:$DG),"")</f>
        <v/>
      </c>
      <c r="AC247" s="141">
        <f>IFERROR(_xlfn.XLOOKUP($D247,'Modelling New'!$D:$D,'Modelling New'!$J:$J),"")</f>
        <v>4.0333333333333332</v>
      </c>
      <c r="AD247" s="123">
        <f>IFERROR(_xlfn.XLOOKUP($D247,'Modelling New'!$D:$D,'Modelling New'!$T:$T)*1000,"")</f>
        <v>162550.46310460661</v>
      </c>
      <c r="AE247" s="140"/>
      <c r="AF247" s="140">
        <f>IFERROR(_xlfn.XLOOKUP($D247,'Modelling New'!$D:$D,'Modelling New'!$W:$W),"")</f>
        <v>8.6832512342204377E-2</v>
      </c>
      <c r="AG247" s="140">
        <f>IFERROR(_xlfn.XLOOKUP($D247,'Modelling New'!$D:$D,'Modelling New'!$AE:$AE),"")</f>
        <v>0.96029999999999993</v>
      </c>
      <c r="AH247" s="140">
        <f>IFERROR(_xlfn.XLOOKUP($D247,'Modelling New'!$D:$D,'Modelling New'!$AF:$AF),"")</f>
        <v>0.995</v>
      </c>
      <c r="AI247" s="121" t="str">
        <f>IFERROR(_xlfn.XLOOKUP($A247,Input_Raw!$A:$A,Input_Raw!$DE:$DE),"")</f>
        <v/>
      </c>
      <c r="AJ247" s="121"/>
      <c r="AK247" s="121"/>
      <c r="AL247" s="121"/>
      <c r="AM247" s="121"/>
      <c r="AN247" s="142" t="str">
        <f>IFERROR(_xlfn.XLOOKUP($A247,Input_Raw!$A:$A,Input_Raw!$DB:$DB),"")</f>
        <v/>
      </c>
      <c r="AO247" s="140" t="str">
        <f>IFERROR((_xlfn.XLOOKUP($A247,'WTG Reactive Power'!$A:$A,'WTG Reactive Power'!$AR:$AR))/X247/1000,"")</f>
        <v/>
      </c>
      <c r="AP247" s="140">
        <f>IFERROR(_xlfn.XLOOKUP($D247,'Modelling New'!$D:$D,'Modelling New'!$AK:$AK),"")</f>
        <v>0.05</v>
      </c>
      <c r="AQ247" s="140">
        <f>IFERROR(_xlfn.XLOOKUP($D247,'Modelling New'!$D:$D,'Modelling New'!$AL:$AL),"")</f>
        <v>0.05</v>
      </c>
      <c r="AR247">
        <f>IFERROR(_xlfn.XLOOKUP($D247,'Modelling New'!$D:$D,'Modelling New'!$N:$N),"")</f>
        <v>78</v>
      </c>
    </row>
    <row r="248" spans="1:44">
      <c r="A248" s="134">
        <f t="shared" si="22"/>
        <v>45991</v>
      </c>
      <c r="B248" s="123">
        <f>YEAR(Table13[[#This Row],[Date]])+IF(MONTH(Table13[[#This Row],[Date]])&gt;=4,1,0)</f>
        <v>2026</v>
      </c>
      <c r="C248" s="121">
        <f>YEAR(Table13[[#This Row],[Date]])</f>
        <v>2025</v>
      </c>
      <c r="D248" s="135">
        <f>Table13[[#This Row],[Date]]-DAY(Table13[[#This Row],[Date]])+1</f>
        <v>45962</v>
      </c>
      <c r="E248" s="121">
        <f t="shared" si="19"/>
        <v>30</v>
      </c>
      <c r="F248" s="124"/>
      <c r="G248" s="125"/>
      <c r="H248" s="125"/>
      <c r="I248" s="125"/>
      <c r="J248" s="125"/>
      <c r="K248" s="136"/>
      <c r="L248" s="125"/>
      <c r="M248" s="125" t="str">
        <f>IFERROR(_xlfn.XLOOKUP($A248,Input_Raw!$A:$A,Input_Raw!CG:CG),"")</f>
        <v/>
      </c>
      <c r="N248" s="125" t="str">
        <f>IFERROR(_xlfn.XLOOKUP($A248,Input_Raw!$A:$A,Input_Raw!CH:CH),"")</f>
        <v/>
      </c>
      <c r="O248" s="137" t="str">
        <f t="shared" si="20"/>
        <v/>
      </c>
      <c r="P248" s="137" t="str">
        <f>IFERROR(1-SUMIF(WTG_BD!$F:$F,$A248,WTG_BD!$AA:$AA)/($AA248+SUMIF(WTG_BD!$F:$F,$A248,WTG_BD!$AA:$AA)),"")</f>
        <v/>
      </c>
      <c r="Q248" s="138" t="str">
        <f>IFERROR(1-SUMIF(IGA_BD!$F:$F,$A248,IGA_BD!$V:$V)/($AA248+SUMIF(IGA_BD!$F:$F,$A248,IGA_BD!$V:$V)),"")</f>
        <v/>
      </c>
      <c r="R248" s="143" t="str">
        <f>IFERROR(1-SUMIF(Grid_BD!$F:$F,$A248,Grid_BD!$X:$X)/($AA248+SUMIF(Grid_BD!$F:$F,$A248,Grid_BD!$X:$X)),"")</f>
        <v/>
      </c>
      <c r="S248" s="121"/>
      <c r="T248" s="138"/>
      <c r="U248" s="139"/>
      <c r="V248" s="121"/>
      <c r="W248" s="140" t="str">
        <f>IFERROR(Table13[[#This Row],[Mtr_Net_Exp (KWh)]]/(24*AR248*1000),"")</f>
        <v/>
      </c>
      <c r="X248" s="121" t="str">
        <f>IFERROR(_xlfn.XLOOKUP($A248,Input_Raw!$A:$A,Input_Raw!$CF:$CF),"")</f>
        <v/>
      </c>
      <c r="Y248" s="121" t="str">
        <f>IFERROR(_xlfn.XLOOKUP($A248,Input_Raw!$A:$A,Input_Raw!$CZ:$CZ),"")</f>
        <v/>
      </c>
      <c r="Z248" s="121" t="str">
        <f>IFERROR(_xlfn.XLOOKUP($A248,Input_Raw!$A:$A,Input_Raw!$DA:$DA),"")</f>
        <v/>
      </c>
      <c r="AA248" s="123" t="str">
        <f t="shared" si="21"/>
        <v/>
      </c>
      <c r="AB248" s="121" t="str">
        <f>IFERROR(_xlfn.XLOOKUP($A248,Input_Raw!$A:$A,Input_Raw!$DG:$DG),"")</f>
        <v/>
      </c>
      <c r="AC248" s="141">
        <f>IFERROR(_xlfn.XLOOKUP($D248,'Modelling New'!$D:$D,'Modelling New'!$J:$J),"")</f>
        <v>4.0333333333333332</v>
      </c>
      <c r="AD248" s="123">
        <f>IFERROR(_xlfn.XLOOKUP($D248,'Modelling New'!$D:$D,'Modelling New'!$T:$T)*1000,"")</f>
        <v>162550.46310460661</v>
      </c>
      <c r="AE248" s="140"/>
      <c r="AF248" s="140">
        <f>IFERROR(_xlfn.XLOOKUP($D248,'Modelling New'!$D:$D,'Modelling New'!$W:$W),"")</f>
        <v>8.6832512342204377E-2</v>
      </c>
      <c r="AG248" s="140">
        <f>IFERROR(_xlfn.XLOOKUP($D248,'Modelling New'!$D:$D,'Modelling New'!$AE:$AE),"")</f>
        <v>0.96029999999999993</v>
      </c>
      <c r="AH248" s="140">
        <f>IFERROR(_xlfn.XLOOKUP($D248,'Modelling New'!$D:$D,'Modelling New'!$AF:$AF),"")</f>
        <v>0.995</v>
      </c>
      <c r="AI248" s="121" t="str">
        <f>IFERROR(_xlfn.XLOOKUP($A248,Input_Raw!$A:$A,Input_Raw!$DE:$DE),"")</f>
        <v/>
      </c>
      <c r="AJ248" s="121"/>
      <c r="AK248" s="121"/>
      <c r="AL248" s="121"/>
      <c r="AM248" s="121"/>
      <c r="AN248" s="142" t="str">
        <f>IFERROR(_xlfn.XLOOKUP($A248,Input_Raw!$A:$A,Input_Raw!$DB:$DB),"")</f>
        <v/>
      </c>
      <c r="AO248" s="140" t="str">
        <f>IFERROR((_xlfn.XLOOKUP($A248,'WTG Reactive Power'!$A:$A,'WTG Reactive Power'!$AR:$AR))/X248/1000,"")</f>
        <v/>
      </c>
      <c r="AP248" s="140">
        <f>IFERROR(_xlfn.XLOOKUP($D248,'Modelling New'!$D:$D,'Modelling New'!$AK:$AK),"")</f>
        <v>0.05</v>
      </c>
      <c r="AQ248" s="140">
        <f>IFERROR(_xlfn.XLOOKUP($D248,'Modelling New'!$D:$D,'Modelling New'!$AL:$AL),"")</f>
        <v>0.05</v>
      </c>
      <c r="AR248">
        <f>IFERROR(_xlfn.XLOOKUP($D248,'Modelling New'!$D:$D,'Modelling New'!$N:$N),"")</f>
        <v>78</v>
      </c>
    </row>
    <row r="249" spans="1:44">
      <c r="A249" s="134">
        <f t="shared" si="22"/>
        <v>45992</v>
      </c>
      <c r="B249" s="123">
        <f>YEAR(Table13[[#This Row],[Date]])+IF(MONTH(Table13[[#This Row],[Date]])&gt;=4,1,0)</f>
        <v>2026</v>
      </c>
      <c r="C249" s="121">
        <f>YEAR(Table13[[#This Row],[Date]])</f>
        <v>2025</v>
      </c>
      <c r="D249" s="135">
        <f>Table13[[#This Row],[Date]]-DAY(Table13[[#This Row],[Date]])+1</f>
        <v>45992</v>
      </c>
      <c r="E249" s="121">
        <f t="shared" si="19"/>
        <v>31</v>
      </c>
      <c r="F249" s="124"/>
      <c r="G249" s="125"/>
      <c r="H249" s="125"/>
      <c r="I249" s="125"/>
      <c r="J249" s="125"/>
      <c r="K249" s="136"/>
      <c r="L249" s="125"/>
      <c r="M249" s="125" t="str">
        <f>IFERROR(_xlfn.XLOOKUP($A249,Input_Raw!$A:$A,Input_Raw!CG:CG),"")</f>
        <v/>
      </c>
      <c r="N249" s="125" t="str">
        <f>IFERROR(_xlfn.XLOOKUP($A249,Input_Raw!$A:$A,Input_Raw!CH:CH),"")</f>
        <v/>
      </c>
      <c r="O249" s="137" t="str">
        <f t="shared" si="20"/>
        <v/>
      </c>
      <c r="P249" s="137" t="str">
        <f>IFERROR(1-SUMIF(WTG_BD!$F:$F,$A249,WTG_BD!$AA:$AA)/($AA249+SUMIF(WTG_BD!$F:$F,$A249,WTG_BD!$AA:$AA)),"")</f>
        <v/>
      </c>
      <c r="Q249" s="138" t="str">
        <f>IFERROR(1-SUMIF(IGA_BD!$F:$F,$A249,IGA_BD!$V:$V)/($AA249+SUMIF(IGA_BD!$F:$F,$A249,IGA_BD!$V:$V)),"")</f>
        <v/>
      </c>
      <c r="R249" s="143" t="str">
        <f>IFERROR(1-SUMIF(Grid_BD!$F:$F,$A249,Grid_BD!$X:$X)/($AA249+SUMIF(Grid_BD!$F:$F,$A249,Grid_BD!$X:$X)),"")</f>
        <v/>
      </c>
      <c r="S249" s="121"/>
      <c r="T249" s="138"/>
      <c r="U249" s="139"/>
      <c r="V249" s="121"/>
      <c r="W249" s="140" t="str">
        <f>IFERROR(Table13[[#This Row],[Mtr_Net_Exp (KWh)]]/(24*AR249*1000),"")</f>
        <v/>
      </c>
      <c r="X249" s="121" t="str">
        <f>IFERROR(_xlfn.XLOOKUP($A249,Input_Raw!$A:$A,Input_Raw!$CF:$CF),"")</f>
        <v/>
      </c>
      <c r="Y249" s="121" t="str">
        <f>IFERROR(_xlfn.XLOOKUP($A249,Input_Raw!$A:$A,Input_Raw!$CZ:$CZ),"")</f>
        <v/>
      </c>
      <c r="Z249" s="121" t="str">
        <f>IFERROR(_xlfn.XLOOKUP($A249,Input_Raw!$A:$A,Input_Raw!$DA:$DA),"")</f>
        <v/>
      </c>
      <c r="AA249" s="123" t="str">
        <f t="shared" si="21"/>
        <v/>
      </c>
      <c r="AB249" s="121" t="str">
        <f>IFERROR(_xlfn.XLOOKUP($A249,Input_Raw!$A:$A,Input_Raw!$DG:$DG),"")</f>
        <v/>
      </c>
      <c r="AC249" s="141">
        <f>IFERROR(_xlfn.XLOOKUP($D249,'Modelling New'!$D:$D,'Modelling New'!$J:$J),"")</f>
        <v>4.4333333333333336</v>
      </c>
      <c r="AD249" s="123">
        <f>IFERROR(_xlfn.XLOOKUP($D249,'Modelling New'!$D:$D,'Modelling New'!$T:$T)*1000,"")</f>
        <v>183922.41431383044</v>
      </c>
      <c r="AE249" s="140"/>
      <c r="AF249" s="140">
        <f>IFERROR(_xlfn.XLOOKUP($D249,'Modelling New'!$D:$D,'Modelling New'!$W:$W),"")</f>
        <v>9.8249152945422247E-2</v>
      </c>
      <c r="AG249" s="140">
        <f>IFERROR(_xlfn.XLOOKUP($D249,'Modelling New'!$D:$D,'Modelling New'!$AE:$AE),"")</f>
        <v>0.96029999999999993</v>
      </c>
      <c r="AH249" s="140">
        <f>IFERROR(_xlfn.XLOOKUP($D249,'Modelling New'!$D:$D,'Modelling New'!$AF:$AF),"")</f>
        <v>0.995</v>
      </c>
      <c r="AI249" s="121" t="str">
        <f>IFERROR(_xlfn.XLOOKUP($A249,Input_Raw!$A:$A,Input_Raw!$DE:$DE),"")</f>
        <v/>
      </c>
      <c r="AJ249" s="121"/>
      <c r="AK249" s="121"/>
      <c r="AL249" s="121"/>
      <c r="AM249" s="121"/>
      <c r="AN249" s="142" t="str">
        <f>IFERROR(_xlfn.XLOOKUP($A249,Input_Raw!$A:$A,Input_Raw!$DB:$DB),"")</f>
        <v/>
      </c>
      <c r="AO249" s="140" t="str">
        <f>IFERROR((_xlfn.XLOOKUP($A249,'WTG Reactive Power'!$A:$A,'WTG Reactive Power'!$AR:$AR))/X249/1000,"")</f>
        <v/>
      </c>
      <c r="AP249" s="140">
        <f>IFERROR(_xlfn.XLOOKUP($D249,'Modelling New'!$D:$D,'Modelling New'!$AK:$AK),"")</f>
        <v>0.05</v>
      </c>
      <c r="AQ249" s="140">
        <f>IFERROR(_xlfn.XLOOKUP($D249,'Modelling New'!$D:$D,'Modelling New'!$AL:$AL),"")</f>
        <v>0.05</v>
      </c>
      <c r="AR249">
        <f>IFERROR(_xlfn.XLOOKUP($D249,'Modelling New'!$D:$D,'Modelling New'!$N:$N),"")</f>
        <v>78</v>
      </c>
    </row>
    <row r="250" spans="1:44">
      <c r="A250" s="134">
        <f t="shared" si="22"/>
        <v>45993</v>
      </c>
      <c r="B250" s="123">
        <f>YEAR(Table13[[#This Row],[Date]])+IF(MONTH(Table13[[#This Row],[Date]])&gt;=4,1,0)</f>
        <v>2026</v>
      </c>
      <c r="C250" s="121">
        <f>YEAR(Table13[[#This Row],[Date]])</f>
        <v>2025</v>
      </c>
      <c r="D250" s="135">
        <f>Table13[[#This Row],[Date]]-DAY(Table13[[#This Row],[Date]])+1</f>
        <v>45992</v>
      </c>
      <c r="E250" s="121">
        <f t="shared" si="19"/>
        <v>31</v>
      </c>
      <c r="F250" s="124"/>
      <c r="G250" s="125"/>
      <c r="H250" s="125"/>
      <c r="I250" s="125"/>
      <c r="J250" s="125"/>
      <c r="K250" s="136"/>
      <c r="L250" s="125"/>
      <c r="M250" s="125" t="str">
        <f>IFERROR(_xlfn.XLOOKUP($A250,Input_Raw!$A:$A,Input_Raw!CG:CG),"")</f>
        <v/>
      </c>
      <c r="N250" s="125" t="str">
        <f>IFERROR(_xlfn.XLOOKUP($A250,Input_Raw!$A:$A,Input_Raw!CH:CH),"")</f>
        <v/>
      </c>
      <c r="O250" s="137" t="str">
        <f t="shared" si="20"/>
        <v/>
      </c>
      <c r="P250" s="137" t="str">
        <f>IFERROR(1-SUMIF(WTG_BD!$F:$F,$A250,WTG_BD!$AA:$AA)/($AA250+SUMIF(WTG_BD!$F:$F,$A250,WTG_BD!$AA:$AA)),"")</f>
        <v/>
      </c>
      <c r="Q250" s="138" t="str">
        <f>IFERROR(1-SUMIF(IGA_BD!$F:$F,$A250,IGA_BD!$V:$V)/($AA250+SUMIF(IGA_BD!$F:$F,$A250,IGA_BD!$V:$V)),"")</f>
        <v/>
      </c>
      <c r="R250" s="143" t="str">
        <f>IFERROR(1-SUMIF(Grid_BD!$F:$F,$A250,Grid_BD!$X:$X)/($AA250+SUMIF(Grid_BD!$F:$F,$A250,Grid_BD!$X:$X)),"")</f>
        <v/>
      </c>
      <c r="S250" s="121"/>
      <c r="T250" s="138"/>
      <c r="U250" s="139"/>
      <c r="V250" s="121"/>
      <c r="W250" s="140" t="str">
        <f>IFERROR(Table13[[#This Row],[Mtr_Net_Exp (KWh)]]/(24*AR250*1000),"")</f>
        <v/>
      </c>
      <c r="X250" s="121" t="str">
        <f>IFERROR(_xlfn.XLOOKUP($A250,Input_Raw!$A:$A,Input_Raw!$CF:$CF),"")</f>
        <v/>
      </c>
      <c r="Y250" s="121" t="str">
        <f>IFERROR(_xlfn.XLOOKUP($A250,Input_Raw!$A:$A,Input_Raw!$CZ:$CZ),"")</f>
        <v/>
      </c>
      <c r="Z250" s="121" t="str">
        <f>IFERROR(_xlfn.XLOOKUP($A250,Input_Raw!$A:$A,Input_Raw!$DA:$DA),"")</f>
        <v/>
      </c>
      <c r="AA250" s="123" t="str">
        <f t="shared" si="21"/>
        <v/>
      </c>
      <c r="AB250" s="121" t="str">
        <f>IFERROR(_xlfn.XLOOKUP($A250,Input_Raw!$A:$A,Input_Raw!$DG:$DG),"")</f>
        <v/>
      </c>
      <c r="AC250" s="141">
        <f>IFERROR(_xlfn.XLOOKUP($D250,'Modelling New'!$D:$D,'Modelling New'!$J:$J),"")</f>
        <v>4.4333333333333336</v>
      </c>
      <c r="AD250" s="123">
        <f>IFERROR(_xlfn.XLOOKUP($D250,'Modelling New'!$D:$D,'Modelling New'!$T:$T)*1000,"")</f>
        <v>183922.41431383044</v>
      </c>
      <c r="AE250" s="140"/>
      <c r="AF250" s="140">
        <f>IFERROR(_xlfn.XLOOKUP($D250,'Modelling New'!$D:$D,'Modelling New'!$W:$W),"")</f>
        <v>9.8249152945422247E-2</v>
      </c>
      <c r="AG250" s="140">
        <f>IFERROR(_xlfn.XLOOKUP($D250,'Modelling New'!$D:$D,'Modelling New'!$AE:$AE),"")</f>
        <v>0.96029999999999993</v>
      </c>
      <c r="AH250" s="140">
        <f>IFERROR(_xlfn.XLOOKUP($D250,'Modelling New'!$D:$D,'Modelling New'!$AF:$AF),"")</f>
        <v>0.995</v>
      </c>
      <c r="AI250" s="121" t="str">
        <f>IFERROR(_xlfn.XLOOKUP($A250,Input_Raw!$A:$A,Input_Raw!$DE:$DE),"")</f>
        <v/>
      </c>
      <c r="AJ250" s="121"/>
      <c r="AK250" s="121"/>
      <c r="AL250" s="121"/>
      <c r="AM250" s="121"/>
      <c r="AN250" s="142" t="str">
        <f>IFERROR(_xlfn.XLOOKUP($A250,Input_Raw!$A:$A,Input_Raw!$DB:$DB),"")</f>
        <v/>
      </c>
      <c r="AO250" s="140" t="str">
        <f>IFERROR((_xlfn.XLOOKUP($A250,'WTG Reactive Power'!$A:$A,'WTG Reactive Power'!$AR:$AR))/X250/1000,"")</f>
        <v/>
      </c>
      <c r="AP250" s="140">
        <f>IFERROR(_xlfn.XLOOKUP($D250,'Modelling New'!$D:$D,'Modelling New'!$AK:$AK),"")</f>
        <v>0.05</v>
      </c>
      <c r="AQ250" s="140">
        <f>IFERROR(_xlfn.XLOOKUP($D250,'Modelling New'!$D:$D,'Modelling New'!$AL:$AL),"")</f>
        <v>0.05</v>
      </c>
      <c r="AR250">
        <f>IFERROR(_xlfn.XLOOKUP($D250,'Modelling New'!$D:$D,'Modelling New'!$N:$N),"")</f>
        <v>78</v>
      </c>
    </row>
    <row r="251" spans="1:44">
      <c r="A251" s="134">
        <f t="shared" si="22"/>
        <v>45994</v>
      </c>
      <c r="B251" s="123">
        <f>YEAR(Table13[[#This Row],[Date]])+IF(MONTH(Table13[[#This Row],[Date]])&gt;=4,1,0)</f>
        <v>2026</v>
      </c>
      <c r="C251" s="121">
        <f>YEAR(Table13[[#This Row],[Date]])</f>
        <v>2025</v>
      </c>
      <c r="D251" s="135">
        <f>Table13[[#This Row],[Date]]-DAY(Table13[[#This Row],[Date]])+1</f>
        <v>45992</v>
      </c>
      <c r="E251" s="121">
        <f t="shared" si="19"/>
        <v>31</v>
      </c>
      <c r="F251" s="124"/>
      <c r="G251" s="125"/>
      <c r="H251" s="125"/>
      <c r="I251" s="125"/>
      <c r="J251" s="125"/>
      <c r="K251" s="136"/>
      <c r="L251" s="125"/>
      <c r="M251" s="125" t="str">
        <f>IFERROR(_xlfn.XLOOKUP($A251,Input_Raw!$A:$A,Input_Raw!CG:CG),"")</f>
        <v/>
      </c>
      <c r="N251" s="125" t="str">
        <f>IFERROR(_xlfn.XLOOKUP($A251,Input_Raw!$A:$A,Input_Raw!CH:CH),"")</f>
        <v/>
      </c>
      <c r="O251" s="137" t="str">
        <f t="shared" si="20"/>
        <v/>
      </c>
      <c r="P251" s="137" t="str">
        <f>IFERROR(1-SUMIF(WTG_BD!$F:$F,$A251,WTG_BD!$AA:$AA)/($AA251+SUMIF(WTG_BD!$F:$F,$A251,WTG_BD!$AA:$AA)),"")</f>
        <v/>
      </c>
      <c r="Q251" s="138" t="str">
        <f>IFERROR(1-SUMIF(IGA_BD!$F:$F,$A251,IGA_BD!$V:$V)/($AA251+SUMIF(IGA_BD!$F:$F,$A251,IGA_BD!$V:$V)),"")</f>
        <v/>
      </c>
      <c r="R251" s="143" t="str">
        <f>IFERROR(1-SUMIF(Grid_BD!$F:$F,$A251,Grid_BD!$X:$X)/($AA251+SUMIF(Grid_BD!$F:$F,$A251,Grid_BD!$X:$X)),"")</f>
        <v/>
      </c>
      <c r="S251" s="121"/>
      <c r="T251" s="138"/>
      <c r="U251" s="139"/>
      <c r="V251" s="121"/>
      <c r="W251" s="140" t="str">
        <f>IFERROR(Table13[[#This Row],[Mtr_Net_Exp (KWh)]]/(24*AR251*1000),"")</f>
        <v/>
      </c>
      <c r="X251" s="121" t="str">
        <f>IFERROR(_xlfn.XLOOKUP($A251,Input_Raw!$A:$A,Input_Raw!$CF:$CF),"")</f>
        <v/>
      </c>
      <c r="Y251" s="121" t="str">
        <f>IFERROR(_xlfn.XLOOKUP($A251,Input_Raw!$A:$A,Input_Raw!$CZ:$CZ),"")</f>
        <v/>
      </c>
      <c r="Z251" s="121" t="str">
        <f>IFERROR(_xlfn.XLOOKUP($A251,Input_Raw!$A:$A,Input_Raw!$DA:$DA),"")</f>
        <v/>
      </c>
      <c r="AA251" s="123" t="str">
        <f t="shared" si="21"/>
        <v/>
      </c>
      <c r="AB251" s="121" t="str">
        <f>IFERROR(_xlfn.XLOOKUP($A251,Input_Raw!$A:$A,Input_Raw!$DG:$DG),"")</f>
        <v/>
      </c>
      <c r="AC251" s="141">
        <f>IFERROR(_xlfn.XLOOKUP($D251,'Modelling New'!$D:$D,'Modelling New'!$J:$J),"")</f>
        <v>4.4333333333333336</v>
      </c>
      <c r="AD251" s="123">
        <f>IFERROR(_xlfn.XLOOKUP($D251,'Modelling New'!$D:$D,'Modelling New'!$T:$T)*1000,"")</f>
        <v>183922.41431383044</v>
      </c>
      <c r="AE251" s="140"/>
      <c r="AF251" s="140">
        <f>IFERROR(_xlfn.XLOOKUP($D251,'Modelling New'!$D:$D,'Modelling New'!$W:$W),"")</f>
        <v>9.8249152945422247E-2</v>
      </c>
      <c r="AG251" s="140">
        <f>IFERROR(_xlfn.XLOOKUP($D251,'Modelling New'!$D:$D,'Modelling New'!$AE:$AE),"")</f>
        <v>0.96029999999999993</v>
      </c>
      <c r="AH251" s="140">
        <f>IFERROR(_xlfn.XLOOKUP($D251,'Modelling New'!$D:$D,'Modelling New'!$AF:$AF),"")</f>
        <v>0.995</v>
      </c>
      <c r="AI251" s="121" t="str">
        <f>IFERROR(_xlfn.XLOOKUP($A251,Input_Raw!$A:$A,Input_Raw!$DE:$DE),"")</f>
        <v/>
      </c>
      <c r="AJ251" s="121"/>
      <c r="AK251" s="121"/>
      <c r="AL251" s="121"/>
      <c r="AM251" s="121"/>
      <c r="AN251" s="142" t="str">
        <f>IFERROR(_xlfn.XLOOKUP($A251,Input_Raw!$A:$A,Input_Raw!$DB:$DB),"")</f>
        <v/>
      </c>
      <c r="AO251" s="140" t="str">
        <f>IFERROR((_xlfn.XLOOKUP($A251,'WTG Reactive Power'!$A:$A,'WTG Reactive Power'!$AR:$AR))/X251/1000,"")</f>
        <v/>
      </c>
      <c r="AP251" s="140">
        <f>IFERROR(_xlfn.XLOOKUP($D251,'Modelling New'!$D:$D,'Modelling New'!$AK:$AK),"")</f>
        <v>0.05</v>
      </c>
      <c r="AQ251" s="140">
        <f>IFERROR(_xlfn.XLOOKUP($D251,'Modelling New'!$D:$D,'Modelling New'!$AL:$AL),"")</f>
        <v>0.05</v>
      </c>
      <c r="AR251">
        <f>IFERROR(_xlfn.XLOOKUP($D251,'Modelling New'!$D:$D,'Modelling New'!$N:$N),"")</f>
        <v>78</v>
      </c>
    </row>
    <row r="252" spans="1:44">
      <c r="A252" s="134">
        <f t="shared" si="22"/>
        <v>45995</v>
      </c>
      <c r="B252" s="123">
        <f>YEAR(Table13[[#This Row],[Date]])+IF(MONTH(Table13[[#This Row],[Date]])&gt;=4,1,0)</f>
        <v>2026</v>
      </c>
      <c r="C252" s="121">
        <f>YEAR(Table13[[#This Row],[Date]])</f>
        <v>2025</v>
      </c>
      <c r="D252" s="135">
        <f>Table13[[#This Row],[Date]]-DAY(Table13[[#This Row],[Date]])+1</f>
        <v>45992</v>
      </c>
      <c r="E252" s="121">
        <f t="shared" si="19"/>
        <v>31</v>
      </c>
      <c r="F252" s="124"/>
      <c r="G252" s="125"/>
      <c r="H252" s="125"/>
      <c r="I252" s="125"/>
      <c r="J252" s="125"/>
      <c r="K252" s="136"/>
      <c r="L252" s="125"/>
      <c r="M252" s="125" t="str">
        <f>IFERROR(_xlfn.XLOOKUP($A252,Input_Raw!$A:$A,Input_Raw!CG:CG),"")</f>
        <v/>
      </c>
      <c r="N252" s="125" t="str">
        <f>IFERROR(_xlfn.XLOOKUP($A252,Input_Raw!$A:$A,Input_Raw!CH:CH),"")</f>
        <v/>
      </c>
      <c r="O252" s="137" t="str">
        <f t="shared" si="20"/>
        <v/>
      </c>
      <c r="P252" s="137" t="str">
        <f>IFERROR(1-SUMIF(WTG_BD!$F:$F,$A252,WTG_BD!$AA:$AA)/($AA252+SUMIF(WTG_BD!$F:$F,$A252,WTG_BD!$AA:$AA)),"")</f>
        <v/>
      </c>
      <c r="Q252" s="138" t="str">
        <f>IFERROR(1-SUMIF(IGA_BD!$F:$F,$A252,IGA_BD!$V:$V)/($AA252+SUMIF(IGA_BD!$F:$F,$A252,IGA_BD!$V:$V)),"")</f>
        <v/>
      </c>
      <c r="R252" s="143" t="str">
        <f>IFERROR(1-SUMIF(Grid_BD!$F:$F,$A252,Grid_BD!$X:$X)/($AA252+SUMIF(Grid_BD!$F:$F,$A252,Grid_BD!$X:$X)),"")</f>
        <v/>
      </c>
      <c r="S252" s="121"/>
      <c r="T252" s="138"/>
      <c r="U252" s="139"/>
      <c r="V252" s="121"/>
      <c r="W252" s="140" t="str">
        <f>IFERROR(Table13[[#This Row],[Mtr_Net_Exp (KWh)]]/(24*AR252*1000),"")</f>
        <v/>
      </c>
      <c r="X252" s="121" t="str">
        <f>IFERROR(_xlfn.XLOOKUP($A252,Input_Raw!$A:$A,Input_Raw!$CF:$CF),"")</f>
        <v/>
      </c>
      <c r="Y252" s="121" t="str">
        <f>IFERROR(_xlfn.XLOOKUP($A252,Input_Raw!$A:$A,Input_Raw!$CZ:$CZ),"")</f>
        <v/>
      </c>
      <c r="Z252" s="121" t="str">
        <f>IFERROR(_xlfn.XLOOKUP($A252,Input_Raw!$A:$A,Input_Raw!$DA:$DA),"")</f>
        <v/>
      </c>
      <c r="AA252" s="123" t="str">
        <f t="shared" si="21"/>
        <v/>
      </c>
      <c r="AB252" s="121" t="str">
        <f>IFERROR(_xlfn.XLOOKUP($A252,Input_Raw!$A:$A,Input_Raw!$DG:$DG),"")</f>
        <v/>
      </c>
      <c r="AC252" s="141">
        <f>IFERROR(_xlfn.XLOOKUP($D252,'Modelling New'!$D:$D,'Modelling New'!$J:$J),"")</f>
        <v>4.4333333333333336</v>
      </c>
      <c r="AD252" s="123">
        <f>IFERROR(_xlfn.XLOOKUP($D252,'Modelling New'!$D:$D,'Modelling New'!$T:$T)*1000,"")</f>
        <v>183922.41431383044</v>
      </c>
      <c r="AE252" s="140"/>
      <c r="AF252" s="140">
        <f>IFERROR(_xlfn.XLOOKUP($D252,'Modelling New'!$D:$D,'Modelling New'!$W:$W),"")</f>
        <v>9.8249152945422247E-2</v>
      </c>
      <c r="AG252" s="140">
        <f>IFERROR(_xlfn.XLOOKUP($D252,'Modelling New'!$D:$D,'Modelling New'!$AE:$AE),"")</f>
        <v>0.96029999999999993</v>
      </c>
      <c r="AH252" s="140">
        <f>IFERROR(_xlfn.XLOOKUP($D252,'Modelling New'!$D:$D,'Modelling New'!$AF:$AF),"")</f>
        <v>0.995</v>
      </c>
      <c r="AI252" s="121" t="str">
        <f>IFERROR(_xlfn.XLOOKUP($A252,Input_Raw!$A:$A,Input_Raw!$DE:$DE),"")</f>
        <v/>
      </c>
      <c r="AJ252" s="121"/>
      <c r="AK252" s="121"/>
      <c r="AL252" s="121"/>
      <c r="AM252" s="121"/>
      <c r="AN252" s="142" t="str">
        <f>IFERROR(_xlfn.XLOOKUP($A252,Input_Raw!$A:$A,Input_Raw!$DB:$DB),"")</f>
        <v/>
      </c>
      <c r="AO252" s="140" t="str">
        <f>IFERROR((_xlfn.XLOOKUP($A252,'WTG Reactive Power'!$A:$A,'WTG Reactive Power'!$AR:$AR))/X252/1000,"")</f>
        <v/>
      </c>
      <c r="AP252" s="140">
        <f>IFERROR(_xlfn.XLOOKUP($D252,'Modelling New'!$D:$D,'Modelling New'!$AK:$AK),"")</f>
        <v>0.05</v>
      </c>
      <c r="AQ252" s="140">
        <f>IFERROR(_xlfn.XLOOKUP($D252,'Modelling New'!$D:$D,'Modelling New'!$AL:$AL),"")</f>
        <v>0.05</v>
      </c>
      <c r="AR252">
        <f>IFERROR(_xlfn.XLOOKUP($D252,'Modelling New'!$D:$D,'Modelling New'!$N:$N),"")</f>
        <v>78</v>
      </c>
    </row>
    <row r="253" spans="1:44">
      <c r="A253" s="134">
        <f t="shared" si="22"/>
        <v>45996</v>
      </c>
      <c r="B253" s="123">
        <f>YEAR(Table13[[#This Row],[Date]])+IF(MONTH(Table13[[#This Row],[Date]])&gt;=4,1,0)</f>
        <v>2026</v>
      </c>
      <c r="C253" s="121">
        <f>YEAR(Table13[[#This Row],[Date]])</f>
        <v>2025</v>
      </c>
      <c r="D253" s="135">
        <f>Table13[[#This Row],[Date]]-DAY(Table13[[#This Row],[Date]])+1</f>
        <v>45992</v>
      </c>
      <c r="E253" s="121">
        <f t="shared" si="19"/>
        <v>31</v>
      </c>
      <c r="F253" s="124"/>
      <c r="G253" s="125"/>
      <c r="H253" s="125"/>
      <c r="I253" s="125"/>
      <c r="J253" s="125"/>
      <c r="K253" s="136"/>
      <c r="L253" s="125"/>
      <c r="M253" s="125" t="str">
        <f>IFERROR(_xlfn.XLOOKUP($A253,Input_Raw!$A:$A,Input_Raw!CG:CG),"")</f>
        <v/>
      </c>
      <c r="N253" s="125" t="str">
        <f>IFERROR(_xlfn.XLOOKUP($A253,Input_Raw!$A:$A,Input_Raw!CH:CH),"")</f>
        <v/>
      </c>
      <c r="O253" s="137" t="str">
        <f t="shared" si="20"/>
        <v/>
      </c>
      <c r="P253" s="137" t="str">
        <f>IFERROR(1-SUMIF(WTG_BD!$F:$F,$A253,WTG_BD!$AA:$AA)/($AA253+SUMIF(WTG_BD!$F:$F,$A253,WTG_BD!$AA:$AA)),"")</f>
        <v/>
      </c>
      <c r="Q253" s="138" t="str">
        <f>IFERROR(1-SUMIF(IGA_BD!$F:$F,$A253,IGA_BD!$V:$V)/($AA253+SUMIF(IGA_BD!$F:$F,$A253,IGA_BD!$V:$V)),"")</f>
        <v/>
      </c>
      <c r="R253" s="143" t="str">
        <f>IFERROR(1-SUMIF(Grid_BD!$F:$F,$A253,Grid_BD!$X:$X)/($AA253+SUMIF(Grid_BD!$F:$F,$A253,Grid_BD!$X:$X)),"")</f>
        <v/>
      </c>
      <c r="S253" s="121"/>
      <c r="T253" s="138"/>
      <c r="U253" s="139"/>
      <c r="V253" s="121"/>
      <c r="W253" s="140" t="str">
        <f>IFERROR(Table13[[#This Row],[Mtr_Net_Exp (KWh)]]/(24*AR253*1000),"")</f>
        <v/>
      </c>
      <c r="X253" s="121" t="str">
        <f>IFERROR(_xlfn.XLOOKUP($A253,Input_Raw!$A:$A,Input_Raw!$CF:$CF),"")</f>
        <v/>
      </c>
      <c r="Y253" s="121" t="str">
        <f>IFERROR(_xlfn.XLOOKUP($A253,Input_Raw!$A:$A,Input_Raw!$CZ:$CZ),"")</f>
        <v/>
      </c>
      <c r="Z253" s="121" t="str">
        <f>IFERROR(_xlfn.XLOOKUP($A253,Input_Raw!$A:$A,Input_Raw!$DA:$DA),"")</f>
        <v/>
      </c>
      <c r="AA253" s="123" t="str">
        <f t="shared" si="21"/>
        <v/>
      </c>
      <c r="AB253" s="121" t="str">
        <f>IFERROR(_xlfn.XLOOKUP($A253,Input_Raw!$A:$A,Input_Raw!$DG:$DG),"")</f>
        <v/>
      </c>
      <c r="AC253" s="141">
        <f>IFERROR(_xlfn.XLOOKUP($D253,'Modelling New'!$D:$D,'Modelling New'!$J:$J),"")</f>
        <v>4.4333333333333336</v>
      </c>
      <c r="AD253" s="123">
        <f>IFERROR(_xlfn.XLOOKUP($D253,'Modelling New'!$D:$D,'Modelling New'!$T:$T)*1000,"")</f>
        <v>183922.41431383044</v>
      </c>
      <c r="AE253" s="140"/>
      <c r="AF253" s="140">
        <f>IFERROR(_xlfn.XLOOKUP($D253,'Modelling New'!$D:$D,'Modelling New'!$W:$W),"")</f>
        <v>9.8249152945422247E-2</v>
      </c>
      <c r="AG253" s="140">
        <f>IFERROR(_xlfn.XLOOKUP($D253,'Modelling New'!$D:$D,'Modelling New'!$AE:$AE),"")</f>
        <v>0.96029999999999993</v>
      </c>
      <c r="AH253" s="140">
        <f>IFERROR(_xlfn.XLOOKUP($D253,'Modelling New'!$D:$D,'Modelling New'!$AF:$AF),"")</f>
        <v>0.995</v>
      </c>
      <c r="AI253" s="121" t="str">
        <f>IFERROR(_xlfn.XLOOKUP($A253,Input_Raw!$A:$A,Input_Raw!$DE:$DE),"")</f>
        <v/>
      </c>
      <c r="AJ253" s="121"/>
      <c r="AK253" s="121"/>
      <c r="AL253" s="121"/>
      <c r="AM253" s="121"/>
      <c r="AN253" s="142" t="str">
        <f>IFERROR(_xlfn.XLOOKUP($A253,Input_Raw!$A:$A,Input_Raw!$DB:$DB),"")</f>
        <v/>
      </c>
      <c r="AO253" s="140" t="str">
        <f>IFERROR((_xlfn.XLOOKUP($A253,'WTG Reactive Power'!$A:$A,'WTG Reactive Power'!$AR:$AR))/X253/1000,"")</f>
        <v/>
      </c>
      <c r="AP253" s="140">
        <f>IFERROR(_xlfn.XLOOKUP($D253,'Modelling New'!$D:$D,'Modelling New'!$AK:$AK),"")</f>
        <v>0.05</v>
      </c>
      <c r="AQ253" s="140">
        <f>IFERROR(_xlfn.XLOOKUP($D253,'Modelling New'!$D:$D,'Modelling New'!$AL:$AL),"")</f>
        <v>0.05</v>
      </c>
      <c r="AR253">
        <f>IFERROR(_xlfn.XLOOKUP($D253,'Modelling New'!$D:$D,'Modelling New'!$N:$N),"")</f>
        <v>78</v>
      </c>
    </row>
    <row r="254" spans="1:44">
      <c r="A254" s="134">
        <f t="shared" si="22"/>
        <v>45997</v>
      </c>
      <c r="B254" s="123">
        <f>YEAR(Table13[[#This Row],[Date]])+IF(MONTH(Table13[[#This Row],[Date]])&gt;=4,1,0)</f>
        <v>2026</v>
      </c>
      <c r="C254" s="121">
        <f>YEAR(Table13[[#This Row],[Date]])</f>
        <v>2025</v>
      </c>
      <c r="D254" s="135">
        <f>Table13[[#This Row],[Date]]-DAY(Table13[[#This Row],[Date]])+1</f>
        <v>45992</v>
      </c>
      <c r="E254" s="121">
        <f t="shared" si="19"/>
        <v>31</v>
      </c>
      <c r="F254" s="124"/>
      <c r="G254" s="125"/>
      <c r="H254" s="125"/>
      <c r="I254" s="125"/>
      <c r="J254" s="125"/>
      <c r="K254" s="136"/>
      <c r="L254" s="125"/>
      <c r="M254" s="125" t="str">
        <f>IFERROR(_xlfn.XLOOKUP($A254,Input_Raw!$A:$A,Input_Raw!CG:CG),"")</f>
        <v/>
      </c>
      <c r="N254" s="125" t="str">
        <f>IFERROR(_xlfn.XLOOKUP($A254,Input_Raw!$A:$A,Input_Raw!CH:CH),"")</f>
        <v/>
      </c>
      <c r="O254" s="137" t="str">
        <f t="shared" si="20"/>
        <v/>
      </c>
      <c r="P254" s="137" t="str">
        <f>IFERROR(1-SUMIF(WTG_BD!$F:$F,$A254,WTG_BD!$AA:$AA)/($AA254+SUMIF(WTG_BD!$F:$F,$A254,WTG_BD!$AA:$AA)),"")</f>
        <v/>
      </c>
      <c r="Q254" s="138" t="str">
        <f>IFERROR(1-SUMIF(IGA_BD!$F:$F,$A254,IGA_BD!$V:$V)/($AA254+SUMIF(IGA_BD!$F:$F,$A254,IGA_BD!$V:$V)),"")</f>
        <v/>
      </c>
      <c r="R254" s="143" t="str">
        <f>IFERROR(1-SUMIF(Grid_BD!$F:$F,$A254,Grid_BD!$X:$X)/($AA254+SUMIF(Grid_BD!$F:$F,$A254,Grid_BD!$X:$X)),"")</f>
        <v/>
      </c>
      <c r="S254" s="121"/>
      <c r="T254" s="138"/>
      <c r="U254" s="139"/>
      <c r="V254" s="121"/>
      <c r="W254" s="140" t="str">
        <f>IFERROR(Table13[[#This Row],[Mtr_Net_Exp (KWh)]]/(24*AR254*1000),"")</f>
        <v/>
      </c>
      <c r="X254" s="121" t="str">
        <f>IFERROR(_xlfn.XLOOKUP($A254,Input_Raw!$A:$A,Input_Raw!$CF:$CF),"")</f>
        <v/>
      </c>
      <c r="Y254" s="121" t="str">
        <f>IFERROR(_xlfn.XLOOKUP($A254,Input_Raw!$A:$A,Input_Raw!$CZ:$CZ),"")</f>
        <v/>
      </c>
      <c r="Z254" s="121" t="str">
        <f>IFERROR(_xlfn.XLOOKUP($A254,Input_Raw!$A:$A,Input_Raw!$DA:$DA),"")</f>
        <v/>
      </c>
      <c r="AA254" s="123" t="str">
        <f t="shared" si="21"/>
        <v/>
      </c>
      <c r="AB254" s="121" t="str">
        <f>IFERROR(_xlfn.XLOOKUP($A254,Input_Raw!$A:$A,Input_Raw!$DG:$DG),"")</f>
        <v/>
      </c>
      <c r="AC254" s="141">
        <f>IFERROR(_xlfn.XLOOKUP($D254,'Modelling New'!$D:$D,'Modelling New'!$J:$J),"")</f>
        <v>4.4333333333333336</v>
      </c>
      <c r="AD254" s="123">
        <f>IFERROR(_xlfn.XLOOKUP($D254,'Modelling New'!$D:$D,'Modelling New'!$T:$T)*1000,"")</f>
        <v>183922.41431383044</v>
      </c>
      <c r="AE254" s="140"/>
      <c r="AF254" s="140">
        <f>IFERROR(_xlfn.XLOOKUP($D254,'Modelling New'!$D:$D,'Modelling New'!$W:$W),"")</f>
        <v>9.8249152945422247E-2</v>
      </c>
      <c r="AG254" s="140">
        <f>IFERROR(_xlfn.XLOOKUP($D254,'Modelling New'!$D:$D,'Modelling New'!$AE:$AE),"")</f>
        <v>0.96029999999999993</v>
      </c>
      <c r="AH254" s="140">
        <f>IFERROR(_xlfn.XLOOKUP($D254,'Modelling New'!$D:$D,'Modelling New'!$AF:$AF),"")</f>
        <v>0.995</v>
      </c>
      <c r="AI254" s="121" t="str">
        <f>IFERROR(_xlfn.XLOOKUP($A254,Input_Raw!$A:$A,Input_Raw!$DE:$DE),"")</f>
        <v/>
      </c>
      <c r="AJ254" s="121"/>
      <c r="AK254" s="121"/>
      <c r="AL254" s="121"/>
      <c r="AM254" s="121"/>
      <c r="AN254" s="142" t="str">
        <f>IFERROR(_xlfn.XLOOKUP($A254,Input_Raw!$A:$A,Input_Raw!$DB:$DB),"")</f>
        <v/>
      </c>
      <c r="AO254" s="140" t="str">
        <f>IFERROR((_xlfn.XLOOKUP($A254,'WTG Reactive Power'!$A:$A,'WTG Reactive Power'!$AR:$AR))/X254/1000,"")</f>
        <v/>
      </c>
      <c r="AP254" s="140">
        <f>IFERROR(_xlfn.XLOOKUP($D254,'Modelling New'!$D:$D,'Modelling New'!$AK:$AK),"")</f>
        <v>0.05</v>
      </c>
      <c r="AQ254" s="140">
        <f>IFERROR(_xlfn.XLOOKUP($D254,'Modelling New'!$D:$D,'Modelling New'!$AL:$AL),"")</f>
        <v>0.05</v>
      </c>
      <c r="AR254">
        <f>IFERROR(_xlfn.XLOOKUP($D254,'Modelling New'!$D:$D,'Modelling New'!$N:$N),"")</f>
        <v>78</v>
      </c>
    </row>
    <row r="255" spans="1:44">
      <c r="A255" s="134">
        <f t="shared" si="22"/>
        <v>45998</v>
      </c>
      <c r="B255" s="123">
        <f>YEAR(Table13[[#This Row],[Date]])+IF(MONTH(Table13[[#This Row],[Date]])&gt;=4,1,0)</f>
        <v>2026</v>
      </c>
      <c r="C255" s="121">
        <f>YEAR(Table13[[#This Row],[Date]])</f>
        <v>2025</v>
      </c>
      <c r="D255" s="135">
        <f>Table13[[#This Row],[Date]]-DAY(Table13[[#This Row],[Date]])+1</f>
        <v>45992</v>
      </c>
      <c r="E255" s="121">
        <f t="shared" ref="E255:E260" si="23">DAY(EOMONTH(A255,0))</f>
        <v>31</v>
      </c>
      <c r="F255" s="124"/>
      <c r="G255" s="125"/>
      <c r="H255" s="125"/>
      <c r="I255" s="125"/>
      <c r="J255" s="125"/>
      <c r="K255" s="136"/>
      <c r="L255" s="125"/>
      <c r="M255" s="125" t="str">
        <f>IFERROR(_xlfn.XLOOKUP($A255,Input_Raw!$A:$A,Input_Raw!CG:CG),"")</f>
        <v/>
      </c>
      <c r="N255" s="125" t="str">
        <f>IFERROR(_xlfn.XLOOKUP($A255,Input_Raw!$A:$A,Input_Raw!CH:CH),"")</f>
        <v/>
      </c>
      <c r="O255" s="137" t="str">
        <f t="shared" ref="O255:O260" si="24">IFERROR(P255*Q255,"")</f>
        <v/>
      </c>
      <c r="P255" s="137" t="str">
        <f>IFERROR(1-SUMIF(WTG_BD!$F:$F,$A255,WTG_BD!$AA:$AA)/($AA255+SUMIF(WTG_BD!$F:$F,$A255,WTG_BD!$AA:$AA)),"")</f>
        <v/>
      </c>
      <c r="Q255" s="138" t="str">
        <f>IFERROR(1-SUMIF(IGA_BD!$F:$F,$A255,IGA_BD!$V:$V)/($AA255+SUMIF(IGA_BD!$F:$F,$A255,IGA_BD!$V:$V)),"")</f>
        <v/>
      </c>
      <c r="R255" s="143" t="str">
        <f>IFERROR(1-SUMIF(Grid_BD!$F:$F,$A255,Grid_BD!$X:$X)/($AA255+SUMIF(Grid_BD!$F:$F,$A255,Grid_BD!$X:$X)),"")</f>
        <v/>
      </c>
      <c r="S255" s="121"/>
      <c r="T255" s="138"/>
      <c r="U255" s="139"/>
      <c r="V255" s="121"/>
      <c r="W255" s="140" t="str">
        <f>IFERROR(Table13[[#This Row],[Mtr_Net_Exp (KWh)]]/(24*AR255*1000),"")</f>
        <v/>
      </c>
      <c r="X255" s="121" t="str">
        <f>IFERROR(_xlfn.XLOOKUP($A255,Input_Raw!$A:$A,Input_Raw!$CF:$CF),"")</f>
        <v/>
      </c>
      <c r="Y255" s="121" t="str">
        <f>IFERROR(_xlfn.XLOOKUP($A255,Input_Raw!$A:$A,Input_Raw!$CZ:$CZ),"")</f>
        <v/>
      </c>
      <c r="Z255" s="121" t="str">
        <f>IFERROR(_xlfn.XLOOKUP($A255,Input_Raw!$A:$A,Input_Raw!$DA:$DA),"")</f>
        <v/>
      </c>
      <c r="AA255" s="123" t="str">
        <f t="shared" ref="AA255:AA260" si="25">IFERROR(Y255-Z255,"")</f>
        <v/>
      </c>
      <c r="AB255" s="121" t="str">
        <f>IFERROR(_xlfn.XLOOKUP($A255,Input_Raw!$A:$A,Input_Raw!$DG:$DG),"")</f>
        <v/>
      </c>
      <c r="AC255" s="141">
        <f>IFERROR(_xlfn.XLOOKUP($D255,'Modelling New'!$D:$D,'Modelling New'!$J:$J),"")</f>
        <v>4.4333333333333336</v>
      </c>
      <c r="AD255" s="123">
        <f>IFERROR(_xlfn.XLOOKUP($D255,'Modelling New'!$D:$D,'Modelling New'!$T:$T)*1000,"")</f>
        <v>183922.41431383044</v>
      </c>
      <c r="AE255" s="140"/>
      <c r="AF255" s="140">
        <f>IFERROR(_xlfn.XLOOKUP($D255,'Modelling New'!$D:$D,'Modelling New'!$W:$W),"")</f>
        <v>9.8249152945422247E-2</v>
      </c>
      <c r="AG255" s="140">
        <f>IFERROR(_xlfn.XLOOKUP($D255,'Modelling New'!$D:$D,'Modelling New'!$AE:$AE),"")</f>
        <v>0.96029999999999993</v>
      </c>
      <c r="AH255" s="140">
        <f>IFERROR(_xlfn.XLOOKUP($D255,'Modelling New'!$D:$D,'Modelling New'!$AF:$AF),"")</f>
        <v>0.995</v>
      </c>
      <c r="AI255" s="121" t="str">
        <f>IFERROR(_xlfn.XLOOKUP($A255,Input_Raw!$A:$A,Input_Raw!$DE:$DE),"")</f>
        <v/>
      </c>
      <c r="AJ255" s="121"/>
      <c r="AK255" s="121"/>
      <c r="AL255" s="121"/>
      <c r="AM255" s="121"/>
      <c r="AN255" s="142" t="str">
        <f>IFERROR(_xlfn.XLOOKUP($A255,Input_Raw!$A:$A,Input_Raw!$DB:$DB),"")</f>
        <v/>
      </c>
      <c r="AO255" s="140" t="str">
        <f>IFERROR((_xlfn.XLOOKUP($A255,'WTG Reactive Power'!$A:$A,'WTG Reactive Power'!$AR:$AR))/X255/1000,"")</f>
        <v/>
      </c>
      <c r="AP255" s="140">
        <f>IFERROR(_xlfn.XLOOKUP($D255,'Modelling New'!$D:$D,'Modelling New'!$AK:$AK),"")</f>
        <v>0.05</v>
      </c>
      <c r="AQ255" s="140">
        <f>IFERROR(_xlfn.XLOOKUP($D255,'Modelling New'!$D:$D,'Modelling New'!$AL:$AL),"")</f>
        <v>0.05</v>
      </c>
      <c r="AR255">
        <f>IFERROR(_xlfn.XLOOKUP($D255,'Modelling New'!$D:$D,'Modelling New'!$N:$N),"")</f>
        <v>78</v>
      </c>
    </row>
    <row r="256" spans="1:44">
      <c r="A256" s="134">
        <f t="shared" si="22"/>
        <v>45999</v>
      </c>
      <c r="B256" s="123">
        <f>YEAR(Table13[[#This Row],[Date]])+IF(MONTH(Table13[[#This Row],[Date]])&gt;=4,1,0)</f>
        <v>2026</v>
      </c>
      <c r="C256" s="121">
        <f>YEAR(Table13[[#This Row],[Date]])</f>
        <v>2025</v>
      </c>
      <c r="D256" s="135">
        <f>Table13[[#This Row],[Date]]-DAY(Table13[[#This Row],[Date]])+1</f>
        <v>45992</v>
      </c>
      <c r="E256" s="121">
        <f t="shared" si="23"/>
        <v>31</v>
      </c>
      <c r="F256" s="124"/>
      <c r="G256" s="125"/>
      <c r="H256" s="125"/>
      <c r="I256" s="125"/>
      <c r="J256" s="125"/>
      <c r="K256" s="136"/>
      <c r="L256" s="125"/>
      <c r="M256" s="125" t="str">
        <f>IFERROR(_xlfn.XLOOKUP($A256,Input_Raw!$A:$A,Input_Raw!CG:CG),"")</f>
        <v/>
      </c>
      <c r="N256" s="125" t="str">
        <f>IFERROR(_xlfn.XLOOKUP($A256,Input_Raw!$A:$A,Input_Raw!CH:CH),"")</f>
        <v/>
      </c>
      <c r="O256" s="137" t="str">
        <f t="shared" si="24"/>
        <v/>
      </c>
      <c r="P256" s="137" t="str">
        <f>IFERROR(1-SUMIF(WTG_BD!$F:$F,$A256,WTG_BD!$AA:$AA)/($AA256+SUMIF(WTG_BD!$F:$F,$A256,WTG_BD!$AA:$AA)),"")</f>
        <v/>
      </c>
      <c r="Q256" s="138" t="str">
        <f>IFERROR(1-SUMIF(IGA_BD!$F:$F,$A256,IGA_BD!$V:$V)/($AA256+SUMIF(IGA_BD!$F:$F,$A256,IGA_BD!$V:$V)),"")</f>
        <v/>
      </c>
      <c r="R256" s="143" t="str">
        <f>IFERROR(1-SUMIF(Grid_BD!$F:$F,$A256,Grid_BD!$X:$X)/($AA256+SUMIF(Grid_BD!$F:$F,$A256,Grid_BD!$X:$X)),"")</f>
        <v/>
      </c>
      <c r="S256" s="121"/>
      <c r="T256" s="138"/>
      <c r="U256" s="139"/>
      <c r="V256" s="121"/>
      <c r="W256" s="140" t="str">
        <f>IFERROR(Table13[[#This Row],[Mtr_Net_Exp (KWh)]]/(24*AR256*1000),"")</f>
        <v/>
      </c>
      <c r="X256" s="121" t="str">
        <f>IFERROR(_xlfn.XLOOKUP($A256,Input_Raw!$A:$A,Input_Raw!$CF:$CF),"")</f>
        <v/>
      </c>
      <c r="Y256" s="121" t="str">
        <f>IFERROR(_xlfn.XLOOKUP($A256,Input_Raw!$A:$A,Input_Raw!$CZ:$CZ),"")</f>
        <v/>
      </c>
      <c r="Z256" s="121" t="str">
        <f>IFERROR(_xlfn.XLOOKUP($A256,Input_Raw!$A:$A,Input_Raw!$DA:$DA),"")</f>
        <v/>
      </c>
      <c r="AA256" s="123" t="str">
        <f t="shared" si="25"/>
        <v/>
      </c>
      <c r="AB256" s="121" t="str">
        <f>IFERROR(_xlfn.XLOOKUP($A256,Input_Raw!$A:$A,Input_Raw!$DG:$DG),"")</f>
        <v/>
      </c>
      <c r="AC256" s="141">
        <f>IFERROR(_xlfn.XLOOKUP($D256,'Modelling New'!$D:$D,'Modelling New'!$J:$J),"")</f>
        <v>4.4333333333333336</v>
      </c>
      <c r="AD256" s="123">
        <f>IFERROR(_xlfn.XLOOKUP($D256,'Modelling New'!$D:$D,'Modelling New'!$T:$T)*1000,"")</f>
        <v>183922.41431383044</v>
      </c>
      <c r="AE256" s="140"/>
      <c r="AF256" s="140">
        <f>IFERROR(_xlfn.XLOOKUP($D256,'Modelling New'!$D:$D,'Modelling New'!$W:$W),"")</f>
        <v>9.8249152945422247E-2</v>
      </c>
      <c r="AG256" s="140">
        <f>IFERROR(_xlfn.XLOOKUP($D256,'Modelling New'!$D:$D,'Modelling New'!$AE:$AE),"")</f>
        <v>0.96029999999999993</v>
      </c>
      <c r="AH256" s="140">
        <f>IFERROR(_xlfn.XLOOKUP($D256,'Modelling New'!$D:$D,'Modelling New'!$AF:$AF),"")</f>
        <v>0.995</v>
      </c>
      <c r="AI256" s="121" t="str">
        <f>IFERROR(_xlfn.XLOOKUP($A256,Input_Raw!$A:$A,Input_Raw!$DE:$DE),"")</f>
        <v/>
      </c>
      <c r="AJ256" s="121"/>
      <c r="AK256" s="121"/>
      <c r="AL256" s="121"/>
      <c r="AM256" s="121"/>
      <c r="AN256" s="142" t="str">
        <f>IFERROR(_xlfn.XLOOKUP($A256,Input_Raw!$A:$A,Input_Raw!$DB:$DB),"")</f>
        <v/>
      </c>
      <c r="AO256" s="140" t="str">
        <f>IFERROR((_xlfn.XLOOKUP($A256,'WTG Reactive Power'!$A:$A,'WTG Reactive Power'!$AR:$AR))/X256/1000,"")</f>
        <v/>
      </c>
      <c r="AP256" s="140">
        <f>IFERROR(_xlfn.XLOOKUP($D256,'Modelling New'!$D:$D,'Modelling New'!$AK:$AK),"")</f>
        <v>0.05</v>
      </c>
      <c r="AQ256" s="140">
        <f>IFERROR(_xlfn.XLOOKUP($D256,'Modelling New'!$D:$D,'Modelling New'!$AL:$AL),"")</f>
        <v>0.05</v>
      </c>
      <c r="AR256">
        <f>IFERROR(_xlfn.XLOOKUP($D256,'Modelling New'!$D:$D,'Modelling New'!$N:$N),"")</f>
        <v>78</v>
      </c>
    </row>
    <row r="257" spans="1:44">
      <c r="A257" s="134">
        <f t="shared" si="22"/>
        <v>46000</v>
      </c>
      <c r="B257" s="123">
        <f>YEAR(Table13[[#This Row],[Date]])+IF(MONTH(Table13[[#This Row],[Date]])&gt;=4,1,0)</f>
        <v>2026</v>
      </c>
      <c r="C257" s="121">
        <f>YEAR(Table13[[#This Row],[Date]])</f>
        <v>2025</v>
      </c>
      <c r="D257" s="135">
        <f>Table13[[#This Row],[Date]]-DAY(Table13[[#This Row],[Date]])+1</f>
        <v>45992</v>
      </c>
      <c r="E257" s="121">
        <f t="shared" si="23"/>
        <v>31</v>
      </c>
      <c r="F257" s="124"/>
      <c r="G257" s="125"/>
      <c r="H257" s="125"/>
      <c r="I257" s="125"/>
      <c r="J257" s="125"/>
      <c r="K257" s="136"/>
      <c r="L257" s="125"/>
      <c r="M257" s="125" t="str">
        <f>IFERROR(_xlfn.XLOOKUP($A257,Input_Raw!$A:$A,Input_Raw!CG:CG),"")</f>
        <v/>
      </c>
      <c r="N257" s="125" t="str">
        <f>IFERROR(_xlfn.XLOOKUP($A257,Input_Raw!$A:$A,Input_Raw!CH:CH),"")</f>
        <v/>
      </c>
      <c r="O257" s="137" t="str">
        <f t="shared" si="24"/>
        <v/>
      </c>
      <c r="P257" s="137" t="str">
        <f>IFERROR(1-SUMIF(WTG_BD!$F:$F,$A257,WTG_BD!$AA:$AA)/($AA257+SUMIF(WTG_BD!$F:$F,$A257,WTG_BD!$AA:$AA)),"")</f>
        <v/>
      </c>
      <c r="Q257" s="138" t="str">
        <f>IFERROR(1-SUMIF(IGA_BD!$F:$F,$A257,IGA_BD!$V:$V)/($AA257+SUMIF(IGA_BD!$F:$F,$A257,IGA_BD!$V:$V)),"")</f>
        <v/>
      </c>
      <c r="R257" s="143" t="str">
        <f>IFERROR(1-SUMIF(Grid_BD!$F:$F,$A257,Grid_BD!$X:$X)/($AA257+SUMIF(Grid_BD!$F:$F,$A257,Grid_BD!$X:$X)),"")</f>
        <v/>
      </c>
      <c r="S257" s="121"/>
      <c r="T257" s="138"/>
      <c r="U257" s="139"/>
      <c r="V257" s="121"/>
      <c r="W257" s="140" t="str">
        <f>IFERROR(Table13[[#This Row],[Mtr_Net_Exp (KWh)]]/(24*AR257*1000),"")</f>
        <v/>
      </c>
      <c r="X257" s="121" t="str">
        <f>IFERROR(_xlfn.XLOOKUP($A257,Input_Raw!$A:$A,Input_Raw!$CF:$CF),"")</f>
        <v/>
      </c>
      <c r="Y257" s="121" t="str">
        <f>IFERROR(_xlfn.XLOOKUP($A257,Input_Raw!$A:$A,Input_Raw!$CZ:$CZ),"")</f>
        <v/>
      </c>
      <c r="Z257" s="121" t="str">
        <f>IFERROR(_xlfn.XLOOKUP($A257,Input_Raw!$A:$A,Input_Raw!$DA:$DA),"")</f>
        <v/>
      </c>
      <c r="AA257" s="123" t="str">
        <f t="shared" si="25"/>
        <v/>
      </c>
      <c r="AB257" s="121" t="str">
        <f>IFERROR(_xlfn.XLOOKUP($A257,Input_Raw!$A:$A,Input_Raw!$DG:$DG),"")</f>
        <v/>
      </c>
      <c r="AC257" s="141">
        <f>IFERROR(_xlfn.XLOOKUP($D257,'Modelling New'!$D:$D,'Modelling New'!$J:$J),"")</f>
        <v>4.4333333333333336</v>
      </c>
      <c r="AD257" s="123">
        <f>IFERROR(_xlfn.XLOOKUP($D257,'Modelling New'!$D:$D,'Modelling New'!$T:$T)*1000,"")</f>
        <v>183922.41431383044</v>
      </c>
      <c r="AE257" s="140"/>
      <c r="AF257" s="140">
        <f>IFERROR(_xlfn.XLOOKUP($D257,'Modelling New'!$D:$D,'Modelling New'!$W:$W),"")</f>
        <v>9.8249152945422247E-2</v>
      </c>
      <c r="AG257" s="140">
        <f>IFERROR(_xlfn.XLOOKUP($D257,'Modelling New'!$D:$D,'Modelling New'!$AE:$AE),"")</f>
        <v>0.96029999999999993</v>
      </c>
      <c r="AH257" s="140">
        <f>IFERROR(_xlfn.XLOOKUP($D257,'Modelling New'!$D:$D,'Modelling New'!$AF:$AF),"")</f>
        <v>0.995</v>
      </c>
      <c r="AI257" s="121" t="str">
        <f>IFERROR(_xlfn.XLOOKUP($A257,Input_Raw!$A:$A,Input_Raw!$DE:$DE),"")</f>
        <v/>
      </c>
      <c r="AJ257" s="121"/>
      <c r="AK257" s="121"/>
      <c r="AL257" s="121"/>
      <c r="AM257" s="121"/>
      <c r="AN257" s="142" t="str">
        <f>IFERROR(_xlfn.XLOOKUP($A257,Input_Raw!$A:$A,Input_Raw!$DB:$DB),"")</f>
        <v/>
      </c>
      <c r="AO257" s="140" t="str">
        <f>IFERROR((_xlfn.XLOOKUP($A257,'WTG Reactive Power'!$A:$A,'WTG Reactive Power'!$AR:$AR))/X257/1000,"")</f>
        <v/>
      </c>
      <c r="AP257" s="140">
        <f>IFERROR(_xlfn.XLOOKUP($D257,'Modelling New'!$D:$D,'Modelling New'!$AK:$AK),"")</f>
        <v>0.05</v>
      </c>
      <c r="AQ257" s="140">
        <f>IFERROR(_xlfn.XLOOKUP($D257,'Modelling New'!$D:$D,'Modelling New'!$AL:$AL),"")</f>
        <v>0.05</v>
      </c>
      <c r="AR257">
        <f>IFERROR(_xlfn.XLOOKUP($D257,'Modelling New'!$D:$D,'Modelling New'!$N:$N),"")</f>
        <v>78</v>
      </c>
    </row>
    <row r="258" spans="1:44">
      <c r="A258" s="134">
        <f t="shared" si="22"/>
        <v>46001</v>
      </c>
      <c r="B258" s="123">
        <f>YEAR(Table13[[#This Row],[Date]])+IF(MONTH(Table13[[#This Row],[Date]])&gt;=4,1,0)</f>
        <v>2026</v>
      </c>
      <c r="C258" s="121">
        <f>YEAR(Table13[[#This Row],[Date]])</f>
        <v>2025</v>
      </c>
      <c r="D258" s="135">
        <f>Table13[[#This Row],[Date]]-DAY(Table13[[#This Row],[Date]])+1</f>
        <v>45992</v>
      </c>
      <c r="E258" s="121">
        <f t="shared" si="23"/>
        <v>31</v>
      </c>
      <c r="F258" s="124"/>
      <c r="G258" s="125"/>
      <c r="H258" s="125"/>
      <c r="I258" s="125"/>
      <c r="J258" s="125"/>
      <c r="K258" s="136"/>
      <c r="L258" s="125"/>
      <c r="M258" s="125" t="str">
        <f>IFERROR(_xlfn.XLOOKUP($A258,Input_Raw!$A:$A,Input_Raw!CG:CG),"")</f>
        <v/>
      </c>
      <c r="N258" s="125" t="str">
        <f>IFERROR(_xlfn.XLOOKUP($A258,Input_Raw!$A:$A,Input_Raw!CH:CH),"")</f>
        <v/>
      </c>
      <c r="O258" s="137" t="str">
        <f t="shared" si="24"/>
        <v/>
      </c>
      <c r="P258" s="137" t="str">
        <f>IFERROR(1-SUMIF(WTG_BD!$F:$F,$A258,WTG_BD!$AA:$AA)/($AA258+SUMIF(WTG_BD!$F:$F,$A258,WTG_BD!$AA:$AA)),"")</f>
        <v/>
      </c>
      <c r="Q258" s="138" t="str">
        <f>IFERROR(1-SUMIF(IGA_BD!$F:$F,$A258,IGA_BD!$V:$V)/($AA258+SUMIF(IGA_BD!$F:$F,$A258,IGA_BD!$V:$V)),"")</f>
        <v/>
      </c>
      <c r="R258" s="143" t="str">
        <f>IFERROR(1-SUMIF(Grid_BD!$F:$F,$A258,Grid_BD!$X:$X)/($AA258+SUMIF(Grid_BD!$F:$F,$A258,Grid_BD!$X:$X)),"")</f>
        <v/>
      </c>
      <c r="S258" s="121"/>
      <c r="T258" s="138"/>
      <c r="U258" s="139"/>
      <c r="V258" s="121"/>
      <c r="W258" s="140" t="str">
        <f>IFERROR(Table13[[#This Row],[Mtr_Net_Exp (KWh)]]/(24*AR258*1000),"")</f>
        <v/>
      </c>
      <c r="X258" s="121" t="str">
        <f>IFERROR(_xlfn.XLOOKUP($A258,Input_Raw!$A:$A,Input_Raw!$CF:$CF),"")</f>
        <v/>
      </c>
      <c r="Y258" s="121" t="str">
        <f>IFERROR(_xlfn.XLOOKUP($A258,Input_Raw!$A:$A,Input_Raw!$CZ:$CZ),"")</f>
        <v/>
      </c>
      <c r="Z258" s="121" t="str">
        <f>IFERROR(_xlfn.XLOOKUP($A258,Input_Raw!$A:$A,Input_Raw!$DA:$DA),"")</f>
        <v/>
      </c>
      <c r="AA258" s="123" t="str">
        <f t="shared" si="25"/>
        <v/>
      </c>
      <c r="AB258" s="121" t="str">
        <f>IFERROR(_xlfn.XLOOKUP($A258,Input_Raw!$A:$A,Input_Raw!$DG:$DG),"")</f>
        <v/>
      </c>
      <c r="AC258" s="141">
        <f>IFERROR(_xlfn.XLOOKUP($D258,'Modelling New'!$D:$D,'Modelling New'!$J:$J),"")</f>
        <v>4.4333333333333336</v>
      </c>
      <c r="AD258" s="123">
        <f>IFERROR(_xlfn.XLOOKUP($D258,'Modelling New'!$D:$D,'Modelling New'!$T:$T)*1000,"")</f>
        <v>183922.41431383044</v>
      </c>
      <c r="AE258" s="140"/>
      <c r="AF258" s="140">
        <f>IFERROR(_xlfn.XLOOKUP($D258,'Modelling New'!$D:$D,'Modelling New'!$W:$W),"")</f>
        <v>9.8249152945422247E-2</v>
      </c>
      <c r="AG258" s="140">
        <f>IFERROR(_xlfn.XLOOKUP($D258,'Modelling New'!$D:$D,'Modelling New'!$AE:$AE),"")</f>
        <v>0.96029999999999993</v>
      </c>
      <c r="AH258" s="140">
        <f>IFERROR(_xlfn.XLOOKUP($D258,'Modelling New'!$D:$D,'Modelling New'!$AF:$AF),"")</f>
        <v>0.995</v>
      </c>
      <c r="AI258" s="121" t="str">
        <f>IFERROR(_xlfn.XLOOKUP($A258,Input_Raw!$A:$A,Input_Raw!$DE:$DE),"")</f>
        <v/>
      </c>
      <c r="AJ258" s="121"/>
      <c r="AK258" s="121"/>
      <c r="AL258" s="121"/>
      <c r="AM258" s="121"/>
      <c r="AN258" s="142" t="str">
        <f>IFERROR(_xlfn.XLOOKUP($A258,Input_Raw!$A:$A,Input_Raw!$DB:$DB),"")</f>
        <v/>
      </c>
      <c r="AO258" s="140" t="str">
        <f>IFERROR((_xlfn.XLOOKUP($A258,'WTG Reactive Power'!$A:$A,'WTG Reactive Power'!$AR:$AR))/X258/1000,"")</f>
        <v/>
      </c>
      <c r="AP258" s="140">
        <f>IFERROR(_xlfn.XLOOKUP($D258,'Modelling New'!$D:$D,'Modelling New'!$AK:$AK),"")</f>
        <v>0.05</v>
      </c>
      <c r="AQ258" s="140">
        <f>IFERROR(_xlfn.XLOOKUP($D258,'Modelling New'!$D:$D,'Modelling New'!$AL:$AL),"")</f>
        <v>0.05</v>
      </c>
      <c r="AR258">
        <f>IFERROR(_xlfn.XLOOKUP($D258,'Modelling New'!$D:$D,'Modelling New'!$N:$N),"")</f>
        <v>78</v>
      </c>
    </row>
    <row r="259" spans="1:44">
      <c r="A259" s="134">
        <f t="shared" si="22"/>
        <v>46002</v>
      </c>
      <c r="B259" s="123">
        <f>YEAR(Table13[[#This Row],[Date]])+IF(MONTH(Table13[[#This Row],[Date]])&gt;=4,1,0)</f>
        <v>2026</v>
      </c>
      <c r="C259" s="121">
        <f>YEAR(Table13[[#This Row],[Date]])</f>
        <v>2025</v>
      </c>
      <c r="D259" s="135">
        <f>Table13[[#This Row],[Date]]-DAY(Table13[[#This Row],[Date]])+1</f>
        <v>45992</v>
      </c>
      <c r="E259" s="121">
        <f t="shared" si="23"/>
        <v>31</v>
      </c>
      <c r="F259" s="124"/>
      <c r="G259" s="125"/>
      <c r="H259" s="125"/>
      <c r="I259" s="125"/>
      <c r="J259" s="125"/>
      <c r="K259" s="136"/>
      <c r="L259" s="125"/>
      <c r="M259" s="125" t="str">
        <f>IFERROR(_xlfn.XLOOKUP($A259,Input_Raw!$A:$A,Input_Raw!CG:CG),"")</f>
        <v/>
      </c>
      <c r="N259" s="125" t="str">
        <f>IFERROR(_xlfn.XLOOKUP($A259,Input_Raw!$A:$A,Input_Raw!CH:CH),"")</f>
        <v/>
      </c>
      <c r="O259" s="137" t="str">
        <f t="shared" si="24"/>
        <v/>
      </c>
      <c r="P259" s="137" t="str">
        <f>IFERROR(1-SUMIF(WTG_BD!$F:$F,$A259,WTG_BD!$AA:$AA)/($AA259+SUMIF(WTG_BD!$F:$F,$A259,WTG_BD!$AA:$AA)),"")</f>
        <v/>
      </c>
      <c r="Q259" s="138" t="str">
        <f>IFERROR(1-SUMIF(IGA_BD!$F:$F,$A259,IGA_BD!$V:$V)/($AA259+SUMIF(IGA_BD!$F:$F,$A259,IGA_BD!$V:$V)),"")</f>
        <v/>
      </c>
      <c r="R259" s="143" t="str">
        <f>IFERROR(1-SUMIF(Grid_BD!$F:$F,$A259,Grid_BD!$X:$X)/($AA259+SUMIF(Grid_BD!$F:$F,$A259,Grid_BD!$X:$X)),"")</f>
        <v/>
      </c>
      <c r="S259" s="121"/>
      <c r="T259" s="138"/>
      <c r="U259" s="139"/>
      <c r="V259" s="121"/>
      <c r="W259" s="140" t="str">
        <f>IFERROR(Table13[[#This Row],[Mtr_Net_Exp (KWh)]]/(24*AR259*1000),"")</f>
        <v/>
      </c>
      <c r="X259" s="121" t="str">
        <f>IFERROR(_xlfn.XLOOKUP($A259,Input_Raw!$A:$A,Input_Raw!$CF:$CF),"")</f>
        <v/>
      </c>
      <c r="Y259" s="121" t="str">
        <f>IFERROR(_xlfn.XLOOKUP($A259,Input_Raw!$A:$A,Input_Raw!$CZ:$CZ),"")</f>
        <v/>
      </c>
      <c r="Z259" s="121" t="str">
        <f>IFERROR(_xlfn.XLOOKUP($A259,Input_Raw!$A:$A,Input_Raw!$DA:$DA),"")</f>
        <v/>
      </c>
      <c r="AA259" s="123" t="str">
        <f t="shared" si="25"/>
        <v/>
      </c>
      <c r="AB259" s="121" t="str">
        <f>IFERROR(_xlfn.XLOOKUP($A259,Input_Raw!$A:$A,Input_Raw!$DG:$DG),"")</f>
        <v/>
      </c>
      <c r="AC259" s="141">
        <f>IFERROR(_xlfn.XLOOKUP($D259,'Modelling New'!$D:$D,'Modelling New'!$J:$J),"")</f>
        <v>4.4333333333333336</v>
      </c>
      <c r="AD259" s="123">
        <f>IFERROR(_xlfn.XLOOKUP($D259,'Modelling New'!$D:$D,'Modelling New'!$T:$T)*1000,"")</f>
        <v>183922.41431383044</v>
      </c>
      <c r="AE259" s="140"/>
      <c r="AF259" s="140">
        <f>IFERROR(_xlfn.XLOOKUP($D259,'Modelling New'!$D:$D,'Modelling New'!$W:$W),"")</f>
        <v>9.8249152945422247E-2</v>
      </c>
      <c r="AG259" s="140">
        <f>IFERROR(_xlfn.XLOOKUP($D259,'Modelling New'!$D:$D,'Modelling New'!$AE:$AE),"")</f>
        <v>0.96029999999999993</v>
      </c>
      <c r="AH259" s="140">
        <f>IFERROR(_xlfn.XLOOKUP($D259,'Modelling New'!$D:$D,'Modelling New'!$AF:$AF),"")</f>
        <v>0.995</v>
      </c>
      <c r="AI259" s="121" t="str">
        <f>IFERROR(_xlfn.XLOOKUP($A259,Input_Raw!$A:$A,Input_Raw!$DE:$DE),"")</f>
        <v/>
      </c>
      <c r="AJ259" s="121"/>
      <c r="AK259" s="121"/>
      <c r="AL259" s="121"/>
      <c r="AM259" s="121"/>
      <c r="AN259" s="142" t="str">
        <f>IFERROR(_xlfn.XLOOKUP($A259,Input_Raw!$A:$A,Input_Raw!$DB:$DB),"")</f>
        <v/>
      </c>
      <c r="AO259" s="140" t="str">
        <f>IFERROR((_xlfn.XLOOKUP($A259,'WTG Reactive Power'!$A:$A,'WTG Reactive Power'!$AR:$AR))/X259/1000,"")</f>
        <v/>
      </c>
      <c r="AP259" s="140">
        <f>IFERROR(_xlfn.XLOOKUP($D259,'Modelling New'!$D:$D,'Modelling New'!$AK:$AK),"")</f>
        <v>0.05</v>
      </c>
      <c r="AQ259" s="140">
        <f>IFERROR(_xlfn.XLOOKUP($D259,'Modelling New'!$D:$D,'Modelling New'!$AL:$AL),"")</f>
        <v>0.05</v>
      </c>
      <c r="AR259">
        <f>IFERROR(_xlfn.XLOOKUP($D259,'Modelling New'!$D:$D,'Modelling New'!$N:$N),"")</f>
        <v>78</v>
      </c>
    </row>
    <row r="260" spans="1:44">
      <c r="A260" s="134">
        <f t="shared" si="22"/>
        <v>46003</v>
      </c>
      <c r="B260" s="123">
        <f>YEAR(Table13[[#This Row],[Date]])+IF(MONTH(Table13[[#This Row],[Date]])&gt;=4,1,0)</f>
        <v>2026</v>
      </c>
      <c r="C260" s="121">
        <f>YEAR(Table13[[#This Row],[Date]])</f>
        <v>2025</v>
      </c>
      <c r="D260" s="135">
        <f>Table13[[#This Row],[Date]]-DAY(Table13[[#This Row],[Date]])+1</f>
        <v>45992</v>
      </c>
      <c r="E260" s="121">
        <f t="shared" si="23"/>
        <v>31</v>
      </c>
      <c r="F260" s="124"/>
      <c r="G260" s="125"/>
      <c r="H260" s="125"/>
      <c r="I260" s="125"/>
      <c r="J260" s="125"/>
      <c r="K260" s="136"/>
      <c r="L260" s="125"/>
      <c r="M260" s="125" t="str">
        <f>IFERROR(_xlfn.XLOOKUP($A260,Input_Raw!$A:$A,Input_Raw!CG:CG),"")</f>
        <v/>
      </c>
      <c r="N260" s="125" t="str">
        <f>IFERROR(_xlfn.XLOOKUP($A260,Input_Raw!$A:$A,Input_Raw!CH:CH),"")</f>
        <v/>
      </c>
      <c r="O260" s="137" t="str">
        <f t="shared" si="24"/>
        <v/>
      </c>
      <c r="P260" s="137" t="str">
        <f>IFERROR(1-SUMIF(WTG_BD!$F:$F,$A260,WTG_BD!$AA:$AA)/($AA260+SUMIF(WTG_BD!$F:$F,$A260,WTG_BD!$AA:$AA)),"")</f>
        <v/>
      </c>
      <c r="Q260" s="138" t="str">
        <f>IFERROR(1-SUMIF(IGA_BD!$F:$F,$A260,IGA_BD!$V:$V)/($AA260+SUMIF(IGA_BD!$F:$F,$A260,IGA_BD!$V:$V)),"")</f>
        <v/>
      </c>
      <c r="R260" s="143" t="str">
        <f>IFERROR(1-SUMIF(Grid_BD!$F:$F,$A260,Grid_BD!$X:$X)/($AA260+SUMIF(Grid_BD!$F:$F,$A260,Grid_BD!$X:$X)),"")</f>
        <v/>
      </c>
      <c r="S260" s="121"/>
      <c r="T260" s="138"/>
      <c r="U260" s="139"/>
      <c r="V260" s="121"/>
      <c r="W260" s="140" t="str">
        <f>IFERROR(Table13[[#This Row],[Mtr_Net_Exp (KWh)]]/(24*AR260*1000),"")</f>
        <v/>
      </c>
      <c r="X260" s="121" t="str">
        <f>IFERROR(_xlfn.XLOOKUP($A260,Input_Raw!$A:$A,Input_Raw!$CF:$CF),"")</f>
        <v/>
      </c>
      <c r="Y260" s="121" t="str">
        <f>IFERROR(_xlfn.XLOOKUP($A260,Input_Raw!$A:$A,Input_Raw!$CZ:$CZ),"")</f>
        <v/>
      </c>
      <c r="Z260" s="121" t="str">
        <f>IFERROR(_xlfn.XLOOKUP($A260,Input_Raw!$A:$A,Input_Raw!$DA:$DA),"")</f>
        <v/>
      </c>
      <c r="AA260" s="123" t="str">
        <f t="shared" si="25"/>
        <v/>
      </c>
      <c r="AB260" s="121" t="str">
        <f>IFERROR(_xlfn.XLOOKUP($A260,Input_Raw!$A:$A,Input_Raw!$DG:$DG),"")</f>
        <v/>
      </c>
      <c r="AC260" s="141">
        <f>IFERROR(_xlfn.XLOOKUP($D260,'Modelling New'!$D:$D,'Modelling New'!$J:$J),"")</f>
        <v>4.4333333333333336</v>
      </c>
      <c r="AD260" s="123">
        <f>IFERROR(_xlfn.XLOOKUP($D260,'Modelling New'!$D:$D,'Modelling New'!$T:$T)*1000,"")</f>
        <v>183922.41431383044</v>
      </c>
      <c r="AE260" s="140"/>
      <c r="AF260" s="140">
        <f>IFERROR(_xlfn.XLOOKUP($D260,'Modelling New'!$D:$D,'Modelling New'!$W:$W),"")</f>
        <v>9.8249152945422247E-2</v>
      </c>
      <c r="AG260" s="140">
        <f>IFERROR(_xlfn.XLOOKUP($D260,'Modelling New'!$D:$D,'Modelling New'!$AE:$AE),"")</f>
        <v>0.96029999999999993</v>
      </c>
      <c r="AH260" s="140">
        <f>IFERROR(_xlfn.XLOOKUP($D260,'Modelling New'!$D:$D,'Modelling New'!$AF:$AF),"")</f>
        <v>0.995</v>
      </c>
      <c r="AI260" s="121" t="str">
        <f>IFERROR(_xlfn.XLOOKUP($A260,Input_Raw!$A:$A,Input_Raw!$DE:$DE),"")</f>
        <v/>
      </c>
      <c r="AJ260" s="121"/>
      <c r="AK260" s="121"/>
      <c r="AL260" s="121"/>
      <c r="AM260" s="121"/>
      <c r="AN260" s="142" t="str">
        <f>IFERROR(_xlfn.XLOOKUP($A260,Input_Raw!$A:$A,Input_Raw!$DB:$DB),"")</f>
        <v/>
      </c>
      <c r="AO260" s="140" t="str">
        <f>IFERROR((_xlfn.XLOOKUP($A260,'WTG Reactive Power'!$A:$A,'WTG Reactive Power'!$AR:$AR))/X260/1000,"")</f>
        <v/>
      </c>
      <c r="AP260" s="140">
        <f>IFERROR(_xlfn.XLOOKUP($D260,'Modelling New'!$D:$D,'Modelling New'!$AK:$AK),"")</f>
        <v>0.05</v>
      </c>
      <c r="AQ260" s="140">
        <f>IFERROR(_xlfn.XLOOKUP($D260,'Modelling New'!$D:$D,'Modelling New'!$AL:$AL),"")</f>
        <v>0.05</v>
      </c>
      <c r="AR260">
        <f>IFERROR(_xlfn.XLOOKUP($D260,'Modelling New'!$D:$D,'Modelling New'!$N:$N),"")</f>
        <v>78</v>
      </c>
    </row>
    <row r="261" spans="1:44">
      <c r="A261" s="134">
        <f t="shared" si="22"/>
        <v>46004</v>
      </c>
      <c r="B261" s="123">
        <f>YEAR(Table13[[#This Row],[Date]])+IF(MONTH(Table13[[#This Row],[Date]])&gt;=4,1,0)</f>
        <v>2026</v>
      </c>
      <c r="C261" s="121">
        <f>YEAR(Table13[[#This Row],[Date]])</f>
        <v>2025</v>
      </c>
      <c r="D261" s="135">
        <f>Table13[[#This Row],[Date]]-DAY(Table13[[#This Row],[Date]])+1</f>
        <v>45992</v>
      </c>
      <c r="E261" s="121">
        <f t="shared" ref="E261:E292" si="26">DAY(EOMONTH(A261,0))</f>
        <v>31</v>
      </c>
      <c r="F261" s="124"/>
      <c r="G261" s="125"/>
      <c r="H261" s="125"/>
      <c r="I261" s="125"/>
      <c r="J261" s="125"/>
      <c r="K261" s="136"/>
      <c r="L261" s="125"/>
      <c r="M261" s="125" t="str">
        <f>IFERROR(_xlfn.XLOOKUP($A261,Input_Raw!$A:$A,Input_Raw!CG:CG),"")</f>
        <v/>
      </c>
      <c r="N261" s="125" t="str">
        <f>IFERROR(_xlfn.XLOOKUP($A261,Input_Raw!$A:$A,Input_Raw!CH:CH),"")</f>
        <v/>
      </c>
      <c r="O261" s="137" t="str">
        <f t="shared" ref="O261:O292" si="27">IFERROR(P261*Q261,"")</f>
        <v/>
      </c>
      <c r="P261" s="137" t="str">
        <f>IFERROR(1-SUMIF(WTG_BD!$F:$F,$A261,WTG_BD!$AA:$AA)/($AA261+SUMIF(WTG_BD!$F:$F,$A261,WTG_BD!$AA:$AA)),"")</f>
        <v/>
      </c>
      <c r="Q261" s="138" t="str">
        <f>IFERROR(1-SUMIF(IGA_BD!$F:$F,$A261,IGA_BD!$V:$V)/($AA261+SUMIF(IGA_BD!$F:$F,$A261,IGA_BD!$V:$V)),"")</f>
        <v/>
      </c>
      <c r="R261" s="143" t="str">
        <f>IFERROR(1-SUMIF(Grid_BD!$F:$F,$A261,Grid_BD!$X:$X)/($AA261+SUMIF(Grid_BD!$F:$F,$A261,Grid_BD!$X:$X)),"")</f>
        <v/>
      </c>
      <c r="S261" s="121"/>
      <c r="T261" s="138"/>
      <c r="U261" s="139"/>
      <c r="V261" s="121"/>
      <c r="W261" s="140" t="str">
        <f>IFERROR(Table13[[#This Row],[Mtr_Net_Exp (KWh)]]/(24*AR261*1000),"")</f>
        <v/>
      </c>
      <c r="X261" s="121" t="str">
        <f>IFERROR(_xlfn.XLOOKUP($A261,Input_Raw!$A:$A,Input_Raw!$CF:$CF),"")</f>
        <v/>
      </c>
      <c r="Y261" s="121" t="str">
        <f>IFERROR(_xlfn.XLOOKUP($A261,Input_Raw!$A:$A,Input_Raw!$CZ:$CZ),"")</f>
        <v/>
      </c>
      <c r="Z261" s="121" t="str">
        <f>IFERROR(_xlfn.XLOOKUP($A261,Input_Raw!$A:$A,Input_Raw!$DA:$DA),"")</f>
        <v/>
      </c>
      <c r="AA261" s="123" t="str">
        <f t="shared" ref="AA261:AA292" si="28">IFERROR(Y261-Z261,"")</f>
        <v/>
      </c>
      <c r="AB261" s="121" t="str">
        <f>IFERROR(_xlfn.XLOOKUP($A261,Input_Raw!$A:$A,Input_Raw!$DG:$DG),"")</f>
        <v/>
      </c>
      <c r="AC261" s="141">
        <f>IFERROR(_xlfn.XLOOKUP($D261,'Modelling New'!$D:$D,'Modelling New'!$J:$J),"")</f>
        <v>4.4333333333333336</v>
      </c>
      <c r="AD261" s="123">
        <f>IFERROR(_xlfn.XLOOKUP($D261,'Modelling New'!$D:$D,'Modelling New'!$T:$T)*1000,"")</f>
        <v>183922.41431383044</v>
      </c>
      <c r="AE261" s="140"/>
      <c r="AF261" s="140">
        <f>IFERROR(_xlfn.XLOOKUP($D261,'Modelling New'!$D:$D,'Modelling New'!$W:$W),"")</f>
        <v>9.8249152945422247E-2</v>
      </c>
      <c r="AG261" s="140">
        <f>IFERROR(_xlfn.XLOOKUP($D261,'Modelling New'!$D:$D,'Modelling New'!$AE:$AE),"")</f>
        <v>0.96029999999999993</v>
      </c>
      <c r="AH261" s="140">
        <f>IFERROR(_xlfn.XLOOKUP($D261,'Modelling New'!$D:$D,'Modelling New'!$AF:$AF),"")</f>
        <v>0.995</v>
      </c>
      <c r="AI261" s="121" t="str">
        <f>IFERROR(_xlfn.XLOOKUP($A261,Input_Raw!$A:$A,Input_Raw!$DE:$DE),"")</f>
        <v/>
      </c>
      <c r="AJ261" s="121"/>
      <c r="AK261" s="121"/>
      <c r="AL261" s="121"/>
      <c r="AM261" s="121"/>
      <c r="AN261" s="142" t="str">
        <f>IFERROR(_xlfn.XLOOKUP($A261,Input_Raw!$A:$A,Input_Raw!$DB:$DB),"")</f>
        <v/>
      </c>
      <c r="AO261" s="140" t="str">
        <f>IFERROR((_xlfn.XLOOKUP($A261,'WTG Reactive Power'!$A:$A,'WTG Reactive Power'!$AR:$AR))/X261/1000,"")</f>
        <v/>
      </c>
      <c r="AP261" s="140">
        <f>IFERROR(_xlfn.XLOOKUP($D261,'Modelling New'!$D:$D,'Modelling New'!$AK:$AK),"")</f>
        <v>0.05</v>
      </c>
      <c r="AQ261" s="140">
        <f>IFERROR(_xlfn.XLOOKUP($D261,'Modelling New'!$D:$D,'Modelling New'!$AL:$AL),"")</f>
        <v>0.05</v>
      </c>
      <c r="AR261">
        <f>IFERROR(_xlfn.XLOOKUP($D261,'Modelling New'!$D:$D,'Modelling New'!$N:$N),"")</f>
        <v>78</v>
      </c>
    </row>
    <row r="262" spans="1:44">
      <c r="A262" s="134">
        <f t="shared" si="22"/>
        <v>46005</v>
      </c>
      <c r="B262" s="123">
        <f>YEAR(Table13[[#This Row],[Date]])+IF(MONTH(Table13[[#This Row],[Date]])&gt;=4,1,0)</f>
        <v>2026</v>
      </c>
      <c r="C262" s="121">
        <f>YEAR(Table13[[#This Row],[Date]])</f>
        <v>2025</v>
      </c>
      <c r="D262" s="135">
        <f>Table13[[#This Row],[Date]]-DAY(Table13[[#This Row],[Date]])+1</f>
        <v>45992</v>
      </c>
      <c r="E262" s="121">
        <f t="shared" si="26"/>
        <v>31</v>
      </c>
      <c r="F262" s="124"/>
      <c r="G262" s="125"/>
      <c r="H262" s="125"/>
      <c r="I262" s="125"/>
      <c r="J262" s="125"/>
      <c r="K262" s="136"/>
      <c r="L262" s="125"/>
      <c r="M262" s="125" t="str">
        <f>IFERROR(_xlfn.XLOOKUP($A262,Input_Raw!$A:$A,Input_Raw!CG:CG),"")</f>
        <v/>
      </c>
      <c r="N262" s="125" t="str">
        <f>IFERROR(_xlfn.XLOOKUP($A262,Input_Raw!$A:$A,Input_Raw!CH:CH),"")</f>
        <v/>
      </c>
      <c r="O262" s="137" t="str">
        <f t="shared" si="27"/>
        <v/>
      </c>
      <c r="P262" s="137" t="str">
        <f>IFERROR(1-SUMIF(WTG_BD!$F:$F,$A262,WTG_BD!$AA:$AA)/($AA262+SUMIF(WTG_BD!$F:$F,$A262,WTG_BD!$AA:$AA)),"")</f>
        <v/>
      </c>
      <c r="Q262" s="138" t="str">
        <f>IFERROR(1-SUMIF(IGA_BD!$F:$F,$A262,IGA_BD!$V:$V)/($AA262+SUMIF(IGA_BD!$F:$F,$A262,IGA_BD!$V:$V)),"")</f>
        <v/>
      </c>
      <c r="R262" s="143" t="str">
        <f>IFERROR(1-SUMIF(Grid_BD!$F:$F,$A262,Grid_BD!$X:$X)/($AA262+SUMIF(Grid_BD!$F:$F,$A262,Grid_BD!$X:$X)),"")</f>
        <v/>
      </c>
      <c r="S262" s="121"/>
      <c r="T262" s="138"/>
      <c r="U262" s="139"/>
      <c r="V262" s="121"/>
      <c r="W262" s="140" t="str">
        <f>IFERROR(Table13[[#This Row],[Mtr_Net_Exp (KWh)]]/(24*AR262*1000),"")</f>
        <v/>
      </c>
      <c r="X262" s="121" t="str">
        <f>IFERROR(_xlfn.XLOOKUP($A262,Input_Raw!$A:$A,Input_Raw!$CF:$CF),"")</f>
        <v/>
      </c>
      <c r="Y262" s="121" t="str">
        <f>IFERROR(_xlfn.XLOOKUP($A262,Input_Raw!$A:$A,Input_Raw!$CZ:$CZ),"")</f>
        <v/>
      </c>
      <c r="Z262" s="121" t="str">
        <f>IFERROR(_xlfn.XLOOKUP($A262,Input_Raw!$A:$A,Input_Raw!$DA:$DA),"")</f>
        <v/>
      </c>
      <c r="AA262" s="123" t="str">
        <f t="shared" si="28"/>
        <v/>
      </c>
      <c r="AB262" s="121" t="str">
        <f>IFERROR(_xlfn.XLOOKUP($A262,Input_Raw!$A:$A,Input_Raw!$DG:$DG),"")</f>
        <v/>
      </c>
      <c r="AC262" s="141">
        <f>IFERROR(_xlfn.XLOOKUP($D262,'Modelling New'!$D:$D,'Modelling New'!$J:$J),"")</f>
        <v>4.4333333333333336</v>
      </c>
      <c r="AD262" s="123">
        <f>IFERROR(_xlfn.XLOOKUP($D262,'Modelling New'!$D:$D,'Modelling New'!$T:$T)*1000,"")</f>
        <v>183922.41431383044</v>
      </c>
      <c r="AE262" s="140"/>
      <c r="AF262" s="140">
        <f>IFERROR(_xlfn.XLOOKUP($D262,'Modelling New'!$D:$D,'Modelling New'!$W:$W),"")</f>
        <v>9.8249152945422247E-2</v>
      </c>
      <c r="AG262" s="140">
        <f>IFERROR(_xlfn.XLOOKUP($D262,'Modelling New'!$D:$D,'Modelling New'!$AE:$AE),"")</f>
        <v>0.96029999999999993</v>
      </c>
      <c r="AH262" s="140">
        <f>IFERROR(_xlfn.XLOOKUP($D262,'Modelling New'!$D:$D,'Modelling New'!$AF:$AF),"")</f>
        <v>0.995</v>
      </c>
      <c r="AI262" s="121" t="str">
        <f>IFERROR(_xlfn.XLOOKUP($A262,Input_Raw!$A:$A,Input_Raw!$DE:$DE),"")</f>
        <v/>
      </c>
      <c r="AJ262" s="121"/>
      <c r="AK262" s="121"/>
      <c r="AL262" s="121"/>
      <c r="AM262" s="121"/>
      <c r="AN262" s="142" t="str">
        <f>IFERROR(_xlfn.XLOOKUP($A262,Input_Raw!$A:$A,Input_Raw!$DB:$DB),"")</f>
        <v/>
      </c>
      <c r="AO262" s="140" t="str">
        <f>IFERROR((_xlfn.XLOOKUP($A262,'WTG Reactive Power'!$A:$A,'WTG Reactive Power'!$AR:$AR))/X262/1000,"")</f>
        <v/>
      </c>
      <c r="AP262" s="140">
        <f>IFERROR(_xlfn.XLOOKUP($D262,'Modelling New'!$D:$D,'Modelling New'!$AK:$AK),"")</f>
        <v>0.05</v>
      </c>
      <c r="AQ262" s="140">
        <f>IFERROR(_xlfn.XLOOKUP($D262,'Modelling New'!$D:$D,'Modelling New'!$AL:$AL),"")</f>
        <v>0.05</v>
      </c>
      <c r="AR262">
        <f>IFERROR(_xlfn.XLOOKUP($D262,'Modelling New'!$D:$D,'Modelling New'!$N:$N),"")</f>
        <v>78</v>
      </c>
    </row>
    <row r="263" spans="1:44">
      <c r="A263" s="134">
        <f t="shared" si="22"/>
        <v>46006</v>
      </c>
      <c r="B263" s="123">
        <f>YEAR(Table13[[#This Row],[Date]])+IF(MONTH(Table13[[#This Row],[Date]])&gt;=4,1,0)</f>
        <v>2026</v>
      </c>
      <c r="C263" s="121">
        <f>YEAR(Table13[[#This Row],[Date]])</f>
        <v>2025</v>
      </c>
      <c r="D263" s="135">
        <f>Table13[[#This Row],[Date]]-DAY(Table13[[#This Row],[Date]])+1</f>
        <v>45992</v>
      </c>
      <c r="E263" s="121">
        <f t="shared" si="26"/>
        <v>31</v>
      </c>
      <c r="F263" s="124"/>
      <c r="G263" s="125"/>
      <c r="H263" s="125"/>
      <c r="I263" s="125"/>
      <c r="J263" s="125"/>
      <c r="K263" s="136"/>
      <c r="L263" s="125"/>
      <c r="M263" s="125" t="str">
        <f>IFERROR(_xlfn.XLOOKUP($A263,Input_Raw!$A:$A,Input_Raw!CG:CG),"")</f>
        <v/>
      </c>
      <c r="N263" s="125" t="str">
        <f>IFERROR(_xlfn.XLOOKUP($A263,Input_Raw!$A:$A,Input_Raw!CH:CH),"")</f>
        <v/>
      </c>
      <c r="O263" s="137" t="str">
        <f t="shared" si="27"/>
        <v/>
      </c>
      <c r="P263" s="137" t="str">
        <f>IFERROR(1-SUMIF(WTG_BD!$F:$F,$A263,WTG_BD!$AA:$AA)/($AA263+SUMIF(WTG_BD!$F:$F,$A263,WTG_BD!$AA:$AA)),"")</f>
        <v/>
      </c>
      <c r="Q263" s="138" t="str">
        <f>IFERROR(1-SUMIF(IGA_BD!$F:$F,$A263,IGA_BD!$V:$V)/($AA263+SUMIF(IGA_BD!$F:$F,$A263,IGA_BD!$V:$V)),"")</f>
        <v/>
      </c>
      <c r="R263" s="143" t="str">
        <f>IFERROR(1-SUMIF(Grid_BD!$F:$F,$A263,Grid_BD!$X:$X)/($AA263+SUMIF(Grid_BD!$F:$F,$A263,Grid_BD!$X:$X)),"")</f>
        <v/>
      </c>
      <c r="S263" s="121"/>
      <c r="T263" s="138"/>
      <c r="U263" s="139"/>
      <c r="V263" s="121"/>
      <c r="W263" s="140" t="str">
        <f>IFERROR(Table13[[#This Row],[Mtr_Net_Exp (KWh)]]/(24*AR263*1000),"")</f>
        <v/>
      </c>
      <c r="X263" s="121" t="str">
        <f>IFERROR(_xlfn.XLOOKUP($A263,Input_Raw!$A:$A,Input_Raw!$CF:$CF),"")</f>
        <v/>
      </c>
      <c r="Y263" s="121" t="str">
        <f>IFERROR(_xlfn.XLOOKUP($A263,Input_Raw!$A:$A,Input_Raw!$CZ:$CZ),"")</f>
        <v/>
      </c>
      <c r="Z263" s="121" t="str">
        <f>IFERROR(_xlfn.XLOOKUP($A263,Input_Raw!$A:$A,Input_Raw!$DA:$DA),"")</f>
        <v/>
      </c>
      <c r="AA263" s="123" t="str">
        <f t="shared" si="28"/>
        <v/>
      </c>
      <c r="AB263" s="121" t="str">
        <f>IFERROR(_xlfn.XLOOKUP($A263,Input_Raw!$A:$A,Input_Raw!$DG:$DG),"")</f>
        <v/>
      </c>
      <c r="AC263" s="141">
        <f>IFERROR(_xlfn.XLOOKUP($D263,'Modelling New'!$D:$D,'Modelling New'!$J:$J),"")</f>
        <v>4.4333333333333336</v>
      </c>
      <c r="AD263" s="123">
        <f>IFERROR(_xlfn.XLOOKUP($D263,'Modelling New'!$D:$D,'Modelling New'!$T:$T)*1000,"")</f>
        <v>183922.41431383044</v>
      </c>
      <c r="AE263" s="140"/>
      <c r="AF263" s="140">
        <f>IFERROR(_xlfn.XLOOKUP($D263,'Modelling New'!$D:$D,'Modelling New'!$W:$W),"")</f>
        <v>9.8249152945422247E-2</v>
      </c>
      <c r="AG263" s="140">
        <f>IFERROR(_xlfn.XLOOKUP($D263,'Modelling New'!$D:$D,'Modelling New'!$AE:$AE),"")</f>
        <v>0.96029999999999993</v>
      </c>
      <c r="AH263" s="140">
        <f>IFERROR(_xlfn.XLOOKUP($D263,'Modelling New'!$D:$D,'Modelling New'!$AF:$AF),"")</f>
        <v>0.995</v>
      </c>
      <c r="AI263" s="121" t="str">
        <f>IFERROR(_xlfn.XLOOKUP($A263,Input_Raw!$A:$A,Input_Raw!$DE:$DE),"")</f>
        <v/>
      </c>
      <c r="AJ263" s="121"/>
      <c r="AK263" s="121"/>
      <c r="AL263" s="121"/>
      <c r="AM263" s="121"/>
      <c r="AN263" s="142" t="str">
        <f>IFERROR(_xlfn.XLOOKUP($A263,Input_Raw!$A:$A,Input_Raw!$DB:$DB),"")</f>
        <v/>
      </c>
      <c r="AO263" s="140" t="str">
        <f>IFERROR((_xlfn.XLOOKUP($A263,'WTG Reactive Power'!$A:$A,'WTG Reactive Power'!$AR:$AR))/X263/1000,"")</f>
        <v/>
      </c>
      <c r="AP263" s="140">
        <f>IFERROR(_xlfn.XLOOKUP($D263,'Modelling New'!$D:$D,'Modelling New'!$AK:$AK),"")</f>
        <v>0.05</v>
      </c>
      <c r="AQ263" s="140">
        <f>IFERROR(_xlfn.XLOOKUP($D263,'Modelling New'!$D:$D,'Modelling New'!$AL:$AL),"")</f>
        <v>0.05</v>
      </c>
      <c r="AR263">
        <f>IFERROR(_xlfn.XLOOKUP($D263,'Modelling New'!$D:$D,'Modelling New'!$N:$N),"")</f>
        <v>78</v>
      </c>
    </row>
    <row r="264" spans="1:44">
      <c r="A264" s="134">
        <f t="shared" si="22"/>
        <v>46007</v>
      </c>
      <c r="B264" s="123">
        <f>YEAR(Table13[[#This Row],[Date]])+IF(MONTH(Table13[[#This Row],[Date]])&gt;=4,1,0)</f>
        <v>2026</v>
      </c>
      <c r="C264" s="121">
        <f>YEAR(Table13[[#This Row],[Date]])</f>
        <v>2025</v>
      </c>
      <c r="D264" s="135">
        <f>Table13[[#This Row],[Date]]-DAY(Table13[[#This Row],[Date]])+1</f>
        <v>45992</v>
      </c>
      <c r="E264" s="121">
        <f t="shared" si="26"/>
        <v>31</v>
      </c>
      <c r="F264" s="124"/>
      <c r="G264" s="125"/>
      <c r="H264" s="125"/>
      <c r="I264" s="125"/>
      <c r="J264" s="125"/>
      <c r="K264" s="136"/>
      <c r="L264" s="125"/>
      <c r="M264" s="125" t="str">
        <f>IFERROR(_xlfn.XLOOKUP($A264,Input_Raw!$A:$A,Input_Raw!CG:CG),"")</f>
        <v/>
      </c>
      <c r="N264" s="125" t="str">
        <f>IFERROR(_xlfn.XLOOKUP($A264,Input_Raw!$A:$A,Input_Raw!CH:CH),"")</f>
        <v/>
      </c>
      <c r="O264" s="137" t="str">
        <f t="shared" si="27"/>
        <v/>
      </c>
      <c r="P264" s="137" t="str">
        <f>IFERROR(1-SUMIF(WTG_BD!$F:$F,$A264,WTG_BD!$AA:$AA)/($AA264+SUMIF(WTG_BD!$F:$F,$A264,WTG_BD!$AA:$AA)),"")</f>
        <v/>
      </c>
      <c r="Q264" s="138" t="str">
        <f>IFERROR(1-SUMIF(IGA_BD!$F:$F,$A264,IGA_BD!$V:$V)/($AA264+SUMIF(IGA_BD!$F:$F,$A264,IGA_BD!$V:$V)),"")</f>
        <v/>
      </c>
      <c r="R264" s="143" t="str">
        <f>IFERROR(1-SUMIF(Grid_BD!$F:$F,$A264,Grid_BD!$X:$X)/($AA264+SUMIF(Grid_BD!$F:$F,$A264,Grid_BD!$X:$X)),"")</f>
        <v/>
      </c>
      <c r="S264" s="121"/>
      <c r="T264" s="138"/>
      <c r="U264" s="139"/>
      <c r="V264" s="121"/>
      <c r="W264" s="140" t="str">
        <f>IFERROR(Table13[[#This Row],[Mtr_Net_Exp (KWh)]]/(24*AR264*1000),"")</f>
        <v/>
      </c>
      <c r="X264" s="121" t="str">
        <f>IFERROR(_xlfn.XLOOKUP($A264,Input_Raw!$A:$A,Input_Raw!$CF:$CF),"")</f>
        <v/>
      </c>
      <c r="Y264" s="121" t="str">
        <f>IFERROR(_xlfn.XLOOKUP($A264,Input_Raw!$A:$A,Input_Raw!$CZ:$CZ),"")</f>
        <v/>
      </c>
      <c r="Z264" s="121" t="str">
        <f>IFERROR(_xlfn.XLOOKUP($A264,Input_Raw!$A:$A,Input_Raw!$DA:$DA),"")</f>
        <v/>
      </c>
      <c r="AA264" s="123" t="str">
        <f t="shared" si="28"/>
        <v/>
      </c>
      <c r="AB264" s="121" t="str">
        <f>IFERROR(_xlfn.XLOOKUP($A264,Input_Raw!$A:$A,Input_Raw!$DG:$DG),"")</f>
        <v/>
      </c>
      <c r="AC264" s="141">
        <f>IFERROR(_xlfn.XLOOKUP($D264,'Modelling New'!$D:$D,'Modelling New'!$J:$J),"")</f>
        <v>4.4333333333333336</v>
      </c>
      <c r="AD264" s="123">
        <f>IFERROR(_xlfn.XLOOKUP($D264,'Modelling New'!$D:$D,'Modelling New'!$T:$T)*1000,"")</f>
        <v>183922.41431383044</v>
      </c>
      <c r="AE264" s="140"/>
      <c r="AF264" s="140">
        <f>IFERROR(_xlfn.XLOOKUP($D264,'Modelling New'!$D:$D,'Modelling New'!$W:$W),"")</f>
        <v>9.8249152945422247E-2</v>
      </c>
      <c r="AG264" s="140">
        <f>IFERROR(_xlfn.XLOOKUP($D264,'Modelling New'!$D:$D,'Modelling New'!$AE:$AE),"")</f>
        <v>0.96029999999999993</v>
      </c>
      <c r="AH264" s="140">
        <f>IFERROR(_xlfn.XLOOKUP($D264,'Modelling New'!$D:$D,'Modelling New'!$AF:$AF),"")</f>
        <v>0.995</v>
      </c>
      <c r="AI264" s="121" t="str">
        <f>IFERROR(_xlfn.XLOOKUP($A264,Input_Raw!$A:$A,Input_Raw!$DE:$DE),"")</f>
        <v/>
      </c>
      <c r="AJ264" s="121"/>
      <c r="AK264" s="121"/>
      <c r="AL264" s="121"/>
      <c r="AM264" s="121"/>
      <c r="AN264" s="142" t="str">
        <f>IFERROR(_xlfn.XLOOKUP($A264,Input_Raw!$A:$A,Input_Raw!$DB:$DB),"")</f>
        <v/>
      </c>
      <c r="AO264" s="140" t="str">
        <f>IFERROR((_xlfn.XLOOKUP($A264,'WTG Reactive Power'!$A:$A,'WTG Reactive Power'!$AR:$AR))/X264/1000,"")</f>
        <v/>
      </c>
      <c r="AP264" s="140">
        <f>IFERROR(_xlfn.XLOOKUP($D264,'Modelling New'!$D:$D,'Modelling New'!$AK:$AK),"")</f>
        <v>0.05</v>
      </c>
      <c r="AQ264" s="140">
        <f>IFERROR(_xlfn.XLOOKUP($D264,'Modelling New'!$D:$D,'Modelling New'!$AL:$AL),"")</f>
        <v>0.05</v>
      </c>
      <c r="AR264">
        <f>IFERROR(_xlfn.XLOOKUP($D264,'Modelling New'!$D:$D,'Modelling New'!$N:$N),"")</f>
        <v>78</v>
      </c>
    </row>
    <row r="265" spans="1:44">
      <c r="A265" s="134">
        <f t="shared" si="22"/>
        <v>46008</v>
      </c>
      <c r="B265" s="123">
        <f>YEAR(Table13[[#This Row],[Date]])+IF(MONTH(Table13[[#This Row],[Date]])&gt;=4,1,0)</f>
        <v>2026</v>
      </c>
      <c r="C265" s="121">
        <f>YEAR(Table13[[#This Row],[Date]])</f>
        <v>2025</v>
      </c>
      <c r="D265" s="135">
        <f>Table13[[#This Row],[Date]]-DAY(Table13[[#This Row],[Date]])+1</f>
        <v>45992</v>
      </c>
      <c r="E265" s="121">
        <f t="shared" si="26"/>
        <v>31</v>
      </c>
      <c r="F265" s="124"/>
      <c r="G265" s="125"/>
      <c r="H265" s="125"/>
      <c r="I265" s="125"/>
      <c r="J265" s="125"/>
      <c r="K265" s="136"/>
      <c r="L265" s="125"/>
      <c r="M265" s="125" t="str">
        <f>IFERROR(_xlfn.XLOOKUP($A265,Input_Raw!$A:$A,Input_Raw!CG:CG),"")</f>
        <v/>
      </c>
      <c r="N265" s="125" t="str">
        <f>IFERROR(_xlfn.XLOOKUP($A265,Input_Raw!$A:$A,Input_Raw!CH:CH),"")</f>
        <v/>
      </c>
      <c r="O265" s="137" t="str">
        <f t="shared" si="27"/>
        <v/>
      </c>
      <c r="P265" s="137" t="str">
        <f>IFERROR(1-SUMIF(WTG_BD!$F:$F,$A265,WTG_BD!$AA:$AA)/($AA265+SUMIF(WTG_BD!$F:$F,$A265,WTG_BD!$AA:$AA)),"")</f>
        <v/>
      </c>
      <c r="Q265" s="138" t="str">
        <f>IFERROR(1-SUMIF(IGA_BD!$F:$F,$A265,IGA_BD!$V:$V)/($AA265+SUMIF(IGA_BD!$F:$F,$A265,IGA_BD!$V:$V)),"")</f>
        <v/>
      </c>
      <c r="R265" s="143" t="str">
        <f>IFERROR(1-SUMIF(Grid_BD!$F:$F,$A265,Grid_BD!$X:$X)/($AA265+SUMIF(Grid_BD!$F:$F,$A265,Grid_BD!$X:$X)),"")</f>
        <v/>
      </c>
      <c r="S265" s="121"/>
      <c r="T265" s="138"/>
      <c r="U265" s="139"/>
      <c r="V265" s="121"/>
      <c r="W265" s="140" t="str">
        <f>IFERROR(Table13[[#This Row],[Mtr_Net_Exp (KWh)]]/(24*AR265*1000),"")</f>
        <v/>
      </c>
      <c r="X265" s="121" t="str">
        <f>IFERROR(_xlfn.XLOOKUP($A265,Input_Raw!$A:$A,Input_Raw!$CF:$CF),"")</f>
        <v/>
      </c>
      <c r="Y265" s="121" t="str">
        <f>IFERROR(_xlfn.XLOOKUP($A265,Input_Raw!$A:$A,Input_Raw!$CZ:$CZ),"")</f>
        <v/>
      </c>
      <c r="Z265" s="121" t="str">
        <f>IFERROR(_xlfn.XLOOKUP($A265,Input_Raw!$A:$A,Input_Raw!$DA:$DA),"")</f>
        <v/>
      </c>
      <c r="AA265" s="123" t="str">
        <f t="shared" si="28"/>
        <v/>
      </c>
      <c r="AB265" s="121" t="str">
        <f>IFERROR(_xlfn.XLOOKUP($A265,Input_Raw!$A:$A,Input_Raw!$DG:$DG),"")</f>
        <v/>
      </c>
      <c r="AC265" s="141">
        <f>IFERROR(_xlfn.XLOOKUP($D265,'Modelling New'!$D:$D,'Modelling New'!$J:$J),"")</f>
        <v>4.4333333333333336</v>
      </c>
      <c r="AD265" s="123">
        <f>IFERROR(_xlfn.XLOOKUP($D265,'Modelling New'!$D:$D,'Modelling New'!$T:$T)*1000,"")</f>
        <v>183922.41431383044</v>
      </c>
      <c r="AE265" s="140"/>
      <c r="AF265" s="140">
        <f>IFERROR(_xlfn.XLOOKUP($D265,'Modelling New'!$D:$D,'Modelling New'!$W:$W),"")</f>
        <v>9.8249152945422247E-2</v>
      </c>
      <c r="AG265" s="140">
        <f>IFERROR(_xlfn.XLOOKUP($D265,'Modelling New'!$D:$D,'Modelling New'!$AE:$AE),"")</f>
        <v>0.96029999999999993</v>
      </c>
      <c r="AH265" s="140">
        <f>IFERROR(_xlfn.XLOOKUP($D265,'Modelling New'!$D:$D,'Modelling New'!$AF:$AF),"")</f>
        <v>0.995</v>
      </c>
      <c r="AI265" s="121" t="str">
        <f>IFERROR(_xlfn.XLOOKUP($A265,Input_Raw!$A:$A,Input_Raw!$DE:$DE),"")</f>
        <v/>
      </c>
      <c r="AJ265" s="121"/>
      <c r="AK265" s="121"/>
      <c r="AL265" s="121"/>
      <c r="AM265" s="121"/>
      <c r="AN265" s="142" t="str">
        <f>IFERROR(_xlfn.XLOOKUP($A265,Input_Raw!$A:$A,Input_Raw!$DB:$DB),"")</f>
        <v/>
      </c>
      <c r="AO265" s="140" t="str">
        <f>IFERROR((_xlfn.XLOOKUP($A265,'WTG Reactive Power'!$A:$A,'WTG Reactive Power'!$AR:$AR))/X265/1000,"")</f>
        <v/>
      </c>
      <c r="AP265" s="140">
        <f>IFERROR(_xlfn.XLOOKUP($D265,'Modelling New'!$D:$D,'Modelling New'!$AK:$AK),"")</f>
        <v>0.05</v>
      </c>
      <c r="AQ265" s="140">
        <f>IFERROR(_xlfn.XLOOKUP($D265,'Modelling New'!$D:$D,'Modelling New'!$AL:$AL),"")</f>
        <v>0.05</v>
      </c>
      <c r="AR265">
        <f>IFERROR(_xlfn.XLOOKUP($D265,'Modelling New'!$D:$D,'Modelling New'!$N:$N),"")</f>
        <v>78</v>
      </c>
    </row>
    <row r="266" spans="1:44">
      <c r="A266" s="134">
        <f t="shared" si="22"/>
        <v>46009</v>
      </c>
      <c r="B266" s="123">
        <f>YEAR(Table13[[#This Row],[Date]])+IF(MONTH(Table13[[#This Row],[Date]])&gt;=4,1,0)</f>
        <v>2026</v>
      </c>
      <c r="C266" s="121">
        <f>YEAR(Table13[[#This Row],[Date]])</f>
        <v>2025</v>
      </c>
      <c r="D266" s="135">
        <f>Table13[[#This Row],[Date]]-DAY(Table13[[#This Row],[Date]])+1</f>
        <v>45992</v>
      </c>
      <c r="E266" s="121">
        <f t="shared" si="26"/>
        <v>31</v>
      </c>
      <c r="F266" s="124"/>
      <c r="G266" s="125"/>
      <c r="H266" s="125"/>
      <c r="I266" s="125"/>
      <c r="J266" s="125"/>
      <c r="K266" s="136"/>
      <c r="L266" s="125"/>
      <c r="M266" s="125" t="str">
        <f>IFERROR(_xlfn.XLOOKUP($A266,Input_Raw!$A:$A,Input_Raw!CG:CG),"")</f>
        <v/>
      </c>
      <c r="N266" s="125" t="str">
        <f>IFERROR(_xlfn.XLOOKUP($A266,Input_Raw!$A:$A,Input_Raw!CH:CH),"")</f>
        <v/>
      </c>
      <c r="O266" s="137" t="str">
        <f t="shared" si="27"/>
        <v/>
      </c>
      <c r="P266" s="137" t="str">
        <f>IFERROR(1-SUMIF(WTG_BD!$F:$F,$A266,WTG_BD!$AA:$AA)/($AA266+SUMIF(WTG_BD!$F:$F,$A266,WTG_BD!$AA:$AA)),"")</f>
        <v/>
      </c>
      <c r="Q266" s="138" t="str">
        <f>IFERROR(1-SUMIF(IGA_BD!$F:$F,$A266,IGA_BD!$V:$V)/($AA266+SUMIF(IGA_BD!$F:$F,$A266,IGA_BD!$V:$V)),"")</f>
        <v/>
      </c>
      <c r="R266" s="143" t="str">
        <f>IFERROR(1-SUMIF(Grid_BD!$F:$F,$A266,Grid_BD!$X:$X)/($AA266+SUMIF(Grid_BD!$F:$F,$A266,Grid_BD!$X:$X)),"")</f>
        <v/>
      </c>
      <c r="S266" s="121"/>
      <c r="T266" s="138"/>
      <c r="U266" s="139"/>
      <c r="V266" s="121"/>
      <c r="W266" s="140" t="str">
        <f>IFERROR(Table13[[#This Row],[Mtr_Net_Exp (KWh)]]/(24*AR266*1000),"")</f>
        <v/>
      </c>
      <c r="X266" s="121" t="str">
        <f>IFERROR(_xlfn.XLOOKUP($A266,Input_Raw!$A:$A,Input_Raw!$CF:$CF),"")</f>
        <v/>
      </c>
      <c r="Y266" s="121" t="str">
        <f>IFERROR(_xlfn.XLOOKUP($A266,Input_Raw!$A:$A,Input_Raw!$CZ:$CZ),"")</f>
        <v/>
      </c>
      <c r="Z266" s="121" t="str">
        <f>IFERROR(_xlfn.XLOOKUP($A266,Input_Raw!$A:$A,Input_Raw!$DA:$DA),"")</f>
        <v/>
      </c>
      <c r="AA266" s="123" t="str">
        <f t="shared" si="28"/>
        <v/>
      </c>
      <c r="AB266" s="121" t="str">
        <f>IFERROR(_xlfn.XLOOKUP($A266,Input_Raw!$A:$A,Input_Raw!$DG:$DG),"")</f>
        <v/>
      </c>
      <c r="AC266" s="141">
        <f>IFERROR(_xlfn.XLOOKUP($D266,'Modelling New'!$D:$D,'Modelling New'!$J:$J),"")</f>
        <v>4.4333333333333336</v>
      </c>
      <c r="AD266" s="123">
        <f>IFERROR(_xlfn.XLOOKUP($D266,'Modelling New'!$D:$D,'Modelling New'!$T:$T)*1000,"")</f>
        <v>183922.41431383044</v>
      </c>
      <c r="AE266" s="140"/>
      <c r="AF266" s="140">
        <f>IFERROR(_xlfn.XLOOKUP($D266,'Modelling New'!$D:$D,'Modelling New'!$W:$W),"")</f>
        <v>9.8249152945422247E-2</v>
      </c>
      <c r="AG266" s="140">
        <f>IFERROR(_xlfn.XLOOKUP($D266,'Modelling New'!$D:$D,'Modelling New'!$AE:$AE),"")</f>
        <v>0.96029999999999993</v>
      </c>
      <c r="AH266" s="140">
        <f>IFERROR(_xlfn.XLOOKUP($D266,'Modelling New'!$D:$D,'Modelling New'!$AF:$AF),"")</f>
        <v>0.995</v>
      </c>
      <c r="AI266" s="121" t="str">
        <f>IFERROR(_xlfn.XLOOKUP($A266,Input_Raw!$A:$A,Input_Raw!$DE:$DE),"")</f>
        <v/>
      </c>
      <c r="AJ266" s="121"/>
      <c r="AK266" s="121"/>
      <c r="AL266" s="121"/>
      <c r="AM266" s="121"/>
      <c r="AN266" s="142" t="str">
        <f>IFERROR(_xlfn.XLOOKUP($A266,Input_Raw!$A:$A,Input_Raw!$DB:$DB),"")</f>
        <v/>
      </c>
      <c r="AO266" s="140" t="str">
        <f>IFERROR((_xlfn.XLOOKUP($A266,'WTG Reactive Power'!$A:$A,'WTG Reactive Power'!$AR:$AR))/X266/1000,"")</f>
        <v/>
      </c>
      <c r="AP266" s="140">
        <f>IFERROR(_xlfn.XLOOKUP($D266,'Modelling New'!$D:$D,'Modelling New'!$AK:$AK),"")</f>
        <v>0.05</v>
      </c>
      <c r="AQ266" s="140">
        <f>IFERROR(_xlfn.XLOOKUP($D266,'Modelling New'!$D:$D,'Modelling New'!$AL:$AL),"")</f>
        <v>0.05</v>
      </c>
      <c r="AR266">
        <f>IFERROR(_xlfn.XLOOKUP($D266,'Modelling New'!$D:$D,'Modelling New'!$N:$N),"")</f>
        <v>78</v>
      </c>
    </row>
    <row r="267" spans="1:44">
      <c r="A267" s="134">
        <f t="shared" si="22"/>
        <v>46010</v>
      </c>
      <c r="B267" s="123">
        <f>YEAR(Table13[[#This Row],[Date]])+IF(MONTH(Table13[[#This Row],[Date]])&gt;=4,1,0)</f>
        <v>2026</v>
      </c>
      <c r="C267" s="121">
        <f>YEAR(Table13[[#This Row],[Date]])</f>
        <v>2025</v>
      </c>
      <c r="D267" s="135">
        <f>Table13[[#This Row],[Date]]-DAY(Table13[[#This Row],[Date]])+1</f>
        <v>45992</v>
      </c>
      <c r="E267" s="121">
        <f t="shared" si="26"/>
        <v>31</v>
      </c>
      <c r="F267" s="124"/>
      <c r="G267" s="125"/>
      <c r="H267" s="125"/>
      <c r="I267" s="125"/>
      <c r="J267" s="125"/>
      <c r="K267" s="136"/>
      <c r="L267" s="125"/>
      <c r="M267" s="125" t="str">
        <f>IFERROR(_xlfn.XLOOKUP($A267,Input_Raw!$A:$A,Input_Raw!CG:CG),"")</f>
        <v/>
      </c>
      <c r="N267" s="125" t="str">
        <f>IFERROR(_xlfn.XLOOKUP($A267,Input_Raw!$A:$A,Input_Raw!CH:CH),"")</f>
        <v/>
      </c>
      <c r="O267" s="137" t="str">
        <f t="shared" si="27"/>
        <v/>
      </c>
      <c r="P267" s="137" t="str">
        <f>IFERROR(1-SUMIF(WTG_BD!$F:$F,$A267,WTG_BD!$AA:$AA)/($AA267+SUMIF(WTG_BD!$F:$F,$A267,WTG_BD!$AA:$AA)),"")</f>
        <v/>
      </c>
      <c r="Q267" s="138" t="str">
        <f>IFERROR(1-SUMIF(IGA_BD!$F:$F,$A267,IGA_BD!$V:$V)/($AA267+SUMIF(IGA_BD!$F:$F,$A267,IGA_BD!$V:$V)),"")</f>
        <v/>
      </c>
      <c r="R267" s="143" t="str">
        <f>IFERROR(1-SUMIF(Grid_BD!$F:$F,$A267,Grid_BD!$X:$X)/($AA267+SUMIF(Grid_BD!$F:$F,$A267,Grid_BD!$X:$X)),"")</f>
        <v/>
      </c>
      <c r="S267" s="121"/>
      <c r="T267" s="138"/>
      <c r="U267" s="139"/>
      <c r="V267" s="121"/>
      <c r="W267" s="140" t="str">
        <f>IFERROR(Table13[[#This Row],[Mtr_Net_Exp (KWh)]]/(24*AR267*1000),"")</f>
        <v/>
      </c>
      <c r="X267" s="121" t="str">
        <f>IFERROR(_xlfn.XLOOKUP($A267,Input_Raw!$A:$A,Input_Raw!$CF:$CF),"")</f>
        <v/>
      </c>
      <c r="Y267" s="121" t="str">
        <f>IFERROR(_xlfn.XLOOKUP($A267,Input_Raw!$A:$A,Input_Raw!$CZ:$CZ),"")</f>
        <v/>
      </c>
      <c r="Z267" s="121" t="str">
        <f>IFERROR(_xlfn.XLOOKUP($A267,Input_Raw!$A:$A,Input_Raw!$DA:$DA),"")</f>
        <v/>
      </c>
      <c r="AA267" s="123" t="str">
        <f t="shared" si="28"/>
        <v/>
      </c>
      <c r="AB267" s="121" t="str">
        <f>IFERROR(_xlfn.XLOOKUP($A267,Input_Raw!$A:$A,Input_Raw!$DG:$DG),"")</f>
        <v/>
      </c>
      <c r="AC267" s="141">
        <f>IFERROR(_xlfn.XLOOKUP($D267,'Modelling New'!$D:$D,'Modelling New'!$J:$J),"")</f>
        <v>4.4333333333333336</v>
      </c>
      <c r="AD267" s="123">
        <f>IFERROR(_xlfn.XLOOKUP($D267,'Modelling New'!$D:$D,'Modelling New'!$T:$T)*1000,"")</f>
        <v>183922.41431383044</v>
      </c>
      <c r="AE267" s="140"/>
      <c r="AF267" s="140">
        <f>IFERROR(_xlfn.XLOOKUP($D267,'Modelling New'!$D:$D,'Modelling New'!$W:$W),"")</f>
        <v>9.8249152945422247E-2</v>
      </c>
      <c r="AG267" s="140">
        <f>IFERROR(_xlfn.XLOOKUP($D267,'Modelling New'!$D:$D,'Modelling New'!$AE:$AE),"")</f>
        <v>0.96029999999999993</v>
      </c>
      <c r="AH267" s="140">
        <f>IFERROR(_xlfn.XLOOKUP($D267,'Modelling New'!$D:$D,'Modelling New'!$AF:$AF),"")</f>
        <v>0.995</v>
      </c>
      <c r="AI267" s="121" t="str">
        <f>IFERROR(_xlfn.XLOOKUP($A267,Input_Raw!$A:$A,Input_Raw!$DE:$DE),"")</f>
        <v/>
      </c>
      <c r="AJ267" s="121"/>
      <c r="AK267" s="121"/>
      <c r="AL267" s="121"/>
      <c r="AM267" s="121"/>
      <c r="AN267" s="142" t="str">
        <f>IFERROR(_xlfn.XLOOKUP($A267,Input_Raw!$A:$A,Input_Raw!$DB:$DB),"")</f>
        <v/>
      </c>
      <c r="AO267" s="140" t="str">
        <f>IFERROR((_xlfn.XLOOKUP($A267,'WTG Reactive Power'!$A:$A,'WTG Reactive Power'!$AR:$AR))/X267/1000,"")</f>
        <v/>
      </c>
      <c r="AP267" s="140">
        <f>IFERROR(_xlfn.XLOOKUP($D267,'Modelling New'!$D:$D,'Modelling New'!$AK:$AK),"")</f>
        <v>0.05</v>
      </c>
      <c r="AQ267" s="140">
        <f>IFERROR(_xlfn.XLOOKUP($D267,'Modelling New'!$D:$D,'Modelling New'!$AL:$AL),"")</f>
        <v>0.05</v>
      </c>
      <c r="AR267">
        <f>IFERROR(_xlfn.XLOOKUP($D267,'Modelling New'!$D:$D,'Modelling New'!$N:$N),"")</f>
        <v>78</v>
      </c>
    </row>
    <row r="268" spans="1:44">
      <c r="A268" s="134">
        <f t="shared" si="22"/>
        <v>46011</v>
      </c>
      <c r="B268" s="123">
        <f>YEAR(Table13[[#This Row],[Date]])+IF(MONTH(Table13[[#This Row],[Date]])&gt;=4,1,0)</f>
        <v>2026</v>
      </c>
      <c r="C268" s="121">
        <f>YEAR(Table13[[#This Row],[Date]])</f>
        <v>2025</v>
      </c>
      <c r="D268" s="135">
        <f>Table13[[#This Row],[Date]]-DAY(Table13[[#This Row],[Date]])+1</f>
        <v>45992</v>
      </c>
      <c r="E268" s="121">
        <f t="shared" si="26"/>
        <v>31</v>
      </c>
      <c r="F268" s="124"/>
      <c r="G268" s="125"/>
      <c r="H268" s="125"/>
      <c r="I268" s="125"/>
      <c r="J268" s="125"/>
      <c r="K268" s="136"/>
      <c r="L268" s="125"/>
      <c r="M268" s="125" t="str">
        <f>IFERROR(_xlfn.XLOOKUP($A268,Input_Raw!$A:$A,Input_Raw!CG:CG),"")</f>
        <v/>
      </c>
      <c r="N268" s="125" t="str">
        <f>IFERROR(_xlfn.XLOOKUP($A268,Input_Raw!$A:$A,Input_Raw!CH:CH),"")</f>
        <v/>
      </c>
      <c r="O268" s="137" t="str">
        <f t="shared" si="27"/>
        <v/>
      </c>
      <c r="P268" s="137" t="str">
        <f>IFERROR(1-SUMIF(WTG_BD!$F:$F,$A268,WTG_BD!$AA:$AA)/($AA268+SUMIF(WTG_BD!$F:$F,$A268,WTG_BD!$AA:$AA)),"")</f>
        <v/>
      </c>
      <c r="Q268" s="138" t="str">
        <f>IFERROR(1-SUMIF(IGA_BD!$F:$F,$A268,IGA_BD!$V:$V)/($AA268+SUMIF(IGA_BD!$F:$F,$A268,IGA_BD!$V:$V)),"")</f>
        <v/>
      </c>
      <c r="R268" s="143" t="str">
        <f>IFERROR(1-SUMIF(Grid_BD!$F:$F,$A268,Grid_BD!$X:$X)/($AA268+SUMIF(Grid_BD!$F:$F,$A268,Grid_BD!$X:$X)),"")</f>
        <v/>
      </c>
      <c r="S268" s="121"/>
      <c r="T268" s="138"/>
      <c r="U268" s="139"/>
      <c r="V268" s="121"/>
      <c r="W268" s="140" t="str">
        <f>IFERROR(Table13[[#This Row],[Mtr_Net_Exp (KWh)]]/(24*AR268*1000),"")</f>
        <v/>
      </c>
      <c r="X268" s="121" t="str">
        <f>IFERROR(_xlfn.XLOOKUP($A268,Input_Raw!$A:$A,Input_Raw!$CF:$CF),"")</f>
        <v/>
      </c>
      <c r="Y268" s="121" t="str">
        <f>IFERROR(_xlfn.XLOOKUP($A268,Input_Raw!$A:$A,Input_Raw!$CZ:$CZ),"")</f>
        <v/>
      </c>
      <c r="Z268" s="121" t="str">
        <f>IFERROR(_xlfn.XLOOKUP($A268,Input_Raw!$A:$A,Input_Raw!$DA:$DA),"")</f>
        <v/>
      </c>
      <c r="AA268" s="123" t="str">
        <f t="shared" si="28"/>
        <v/>
      </c>
      <c r="AB268" s="121" t="str">
        <f>IFERROR(_xlfn.XLOOKUP($A268,Input_Raw!$A:$A,Input_Raw!$DG:$DG),"")</f>
        <v/>
      </c>
      <c r="AC268" s="141">
        <f>IFERROR(_xlfn.XLOOKUP($D268,'Modelling New'!$D:$D,'Modelling New'!$J:$J),"")</f>
        <v>4.4333333333333336</v>
      </c>
      <c r="AD268" s="123">
        <f>IFERROR(_xlfn.XLOOKUP($D268,'Modelling New'!$D:$D,'Modelling New'!$T:$T)*1000,"")</f>
        <v>183922.41431383044</v>
      </c>
      <c r="AE268" s="140"/>
      <c r="AF268" s="140">
        <f>IFERROR(_xlfn.XLOOKUP($D268,'Modelling New'!$D:$D,'Modelling New'!$W:$W),"")</f>
        <v>9.8249152945422247E-2</v>
      </c>
      <c r="AG268" s="140">
        <f>IFERROR(_xlfn.XLOOKUP($D268,'Modelling New'!$D:$D,'Modelling New'!$AE:$AE),"")</f>
        <v>0.96029999999999993</v>
      </c>
      <c r="AH268" s="140">
        <f>IFERROR(_xlfn.XLOOKUP($D268,'Modelling New'!$D:$D,'Modelling New'!$AF:$AF),"")</f>
        <v>0.995</v>
      </c>
      <c r="AI268" s="121" t="str">
        <f>IFERROR(_xlfn.XLOOKUP($A268,Input_Raw!$A:$A,Input_Raw!$DE:$DE),"")</f>
        <v/>
      </c>
      <c r="AJ268" s="121"/>
      <c r="AK268" s="121"/>
      <c r="AL268" s="121"/>
      <c r="AM268" s="121"/>
      <c r="AN268" s="142" t="str">
        <f>IFERROR(_xlfn.XLOOKUP($A268,Input_Raw!$A:$A,Input_Raw!$DB:$DB),"")</f>
        <v/>
      </c>
      <c r="AO268" s="140" t="str">
        <f>IFERROR((_xlfn.XLOOKUP($A268,'WTG Reactive Power'!$A:$A,'WTG Reactive Power'!$AR:$AR))/X268/1000,"")</f>
        <v/>
      </c>
      <c r="AP268" s="140">
        <f>IFERROR(_xlfn.XLOOKUP($D268,'Modelling New'!$D:$D,'Modelling New'!$AK:$AK),"")</f>
        <v>0.05</v>
      </c>
      <c r="AQ268" s="140">
        <f>IFERROR(_xlfn.XLOOKUP($D268,'Modelling New'!$D:$D,'Modelling New'!$AL:$AL),"")</f>
        <v>0.05</v>
      </c>
      <c r="AR268">
        <f>IFERROR(_xlfn.XLOOKUP($D268,'Modelling New'!$D:$D,'Modelling New'!$N:$N),"")</f>
        <v>78</v>
      </c>
    </row>
    <row r="269" spans="1:44">
      <c r="A269" s="134">
        <f t="shared" si="22"/>
        <v>46012</v>
      </c>
      <c r="B269" s="123">
        <f>YEAR(Table13[[#This Row],[Date]])+IF(MONTH(Table13[[#This Row],[Date]])&gt;=4,1,0)</f>
        <v>2026</v>
      </c>
      <c r="C269" s="121">
        <f>YEAR(Table13[[#This Row],[Date]])</f>
        <v>2025</v>
      </c>
      <c r="D269" s="135">
        <f>Table13[[#This Row],[Date]]-DAY(Table13[[#This Row],[Date]])+1</f>
        <v>45992</v>
      </c>
      <c r="E269" s="121">
        <f t="shared" si="26"/>
        <v>31</v>
      </c>
      <c r="F269" s="124"/>
      <c r="G269" s="125"/>
      <c r="H269" s="125"/>
      <c r="I269" s="125"/>
      <c r="J269" s="125"/>
      <c r="K269" s="136"/>
      <c r="L269" s="125"/>
      <c r="M269" s="125" t="str">
        <f>IFERROR(_xlfn.XLOOKUP($A269,Input_Raw!$A:$A,Input_Raw!CG:CG),"")</f>
        <v/>
      </c>
      <c r="N269" s="125" t="str">
        <f>IFERROR(_xlfn.XLOOKUP($A269,Input_Raw!$A:$A,Input_Raw!CH:CH),"")</f>
        <v/>
      </c>
      <c r="O269" s="137" t="str">
        <f t="shared" si="27"/>
        <v/>
      </c>
      <c r="P269" s="137" t="str">
        <f>IFERROR(1-SUMIF(WTG_BD!$F:$F,$A269,WTG_BD!$AA:$AA)/($AA269+SUMIF(WTG_BD!$F:$F,$A269,WTG_BD!$AA:$AA)),"")</f>
        <v/>
      </c>
      <c r="Q269" s="138" t="str">
        <f>IFERROR(1-SUMIF(IGA_BD!$F:$F,$A269,IGA_BD!$V:$V)/($AA269+SUMIF(IGA_BD!$F:$F,$A269,IGA_BD!$V:$V)),"")</f>
        <v/>
      </c>
      <c r="R269" s="143" t="str">
        <f>IFERROR(1-SUMIF(Grid_BD!$F:$F,$A269,Grid_BD!$X:$X)/($AA269+SUMIF(Grid_BD!$F:$F,$A269,Grid_BD!$X:$X)),"")</f>
        <v/>
      </c>
      <c r="S269" s="121"/>
      <c r="T269" s="138"/>
      <c r="U269" s="139"/>
      <c r="V269" s="121"/>
      <c r="W269" s="140" t="str">
        <f>IFERROR(Table13[[#This Row],[Mtr_Net_Exp (KWh)]]/(24*AR269*1000),"")</f>
        <v/>
      </c>
      <c r="X269" s="121" t="str">
        <f>IFERROR(_xlfn.XLOOKUP($A269,Input_Raw!$A:$A,Input_Raw!$CF:$CF),"")</f>
        <v/>
      </c>
      <c r="Y269" s="121" t="str">
        <f>IFERROR(_xlfn.XLOOKUP($A269,Input_Raw!$A:$A,Input_Raw!$CZ:$CZ),"")</f>
        <v/>
      </c>
      <c r="Z269" s="121" t="str">
        <f>IFERROR(_xlfn.XLOOKUP($A269,Input_Raw!$A:$A,Input_Raw!$DA:$DA),"")</f>
        <v/>
      </c>
      <c r="AA269" s="123" t="str">
        <f t="shared" si="28"/>
        <v/>
      </c>
      <c r="AB269" s="121" t="str">
        <f>IFERROR(_xlfn.XLOOKUP($A269,Input_Raw!$A:$A,Input_Raw!$DG:$DG),"")</f>
        <v/>
      </c>
      <c r="AC269" s="141">
        <f>IFERROR(_xlfn.XLOOKUP($D269,'Modelling New'!$D:$D,'Modelling New'!$J:$J),"")</f>
        <v>4.4333333333333336</v>
      </c>
      <c r="AD269" s="123">
        <f>IFERROR(_xlfn.XLOOKUP($D269,'Modelling New'!$D:$D,'Modelling New'!$T:$T)*1000,"")</f>
        <v>183922.41431383044</v>
      </c>
      <c r="AE269" s="140"/>
      <c r="AF269" s="140">
        <f>IFERROR(_xlfn.XLOOKUP($D269,'Modelling New'!$D:$D,'Modelling New'!$W:$W),"")</f>
        <v>9.8249152945422247E-2</v>
      </c>
      <c r="AG269" s="140">
        <f>IFERROR(_xlfn.XLOOKUP($D269,'Modelling New'!$D:$D,'Modelling New'!$AE:$AE),"")</f>
        <v>0.96029999999999993</v>
      </c>
      <c r="AH269" s="140">
        <f>IFERROR(_xlfn.XLOOKUP($D269,'Modelling New'!$D:$D,'Modelling New'!$AF:$AF),"")</f>
        <v>0.995</v>
      </c>
      <c r="AI269" s="121" t="str">
        <f>IFERROR(_xlfn.XLOOKUP($A269,Input_Raw!$A:$A,Input_Raw!$DE:$DE),"")</f>
        <v/>
      </c>
      <c r="AJ269" s="121"/>
      <c r="AK269" s="121"/>
      <c r="AL269" s="121"/>
      <c r="AM269" s="121"/>
      <c r="AN269" s="142" t="str">
        <f>IFERROR(_xlfn.XLOOKUP($A269,Input_Raw!$A:$A,Input_Raw!$DB:$DB),"")</f>
        <v/>
      </c>
      <c r="AO269" s="140" t="str">
        <f>IFERROR((_xlfn.XLOOKUP($A269,'WTG Reactive Power'!$A:$A,'WTG Reactive Power'!$AR:$AR))/X269/1000,"")</f>
        <v/>
      </c>
      <c r="AP269" s="140">
        <f>IFERROR(_xlfn.XLOOKUP($D269,'Modelling New'!$D:$D,'Modelling New'!$AK:$AK),"")</f>
        <v>0.05</v>
      </c>
      <c r="AQ269" s="140">
        <f>IFERROR(_xlfn.XLOOKUP($D269,'Modelling New'!$D:$D,'Modelling New'!$AL:$AL),"")</f>
        <v>0.05</v>
      </c>
      <c r="AR269">
        <f>IFERROR(_xlfn.XLOOKUP($D269,'Modelling New'!$D:$D,'Modelling New'!$N:$N),"")</f>
        <v>78</v>
      </c>
    </row>
    <row r="270" spans="1:44">
      <c r="A270" s="134">
        <f t="shared" si="22"/>
        <v>46013</v>
      </c>
      <c r="B270" s="123">
        <f>YEAR(Table13[[#This Row],[Date]])+IF(MONTH(Table13[[#This Row],[Date]])&gt;=4,1,0)</f>
        <v>2026</v>
      </c>
      <c r="C270" s="121">
        <f>YEAR(Table13[[#This Row],[Date]])</f>
        <v>2025</v>
      </c>
      <c r="D270" s="135">
        <f>Table13[[#This Row],[Date]]-DAY(Table13[[#This Row],[Date]])+1</f>
        <v>45992</v>
      </c>
      <c r="E270" s="121">
        <f t="shared" si="26"/>
        <v>31</v>
      </c>
      <c r="F270" s="124"/>
      <c r="G270" s="125"/>
      <c r="H270" s="125"/>
      <c r="I270" s="125"/>
      <c r="J270" s="125"/>
      <c r="K270" s="136"/>
      <c r="L270" s="125"/>
      <c r="M270" s="125" t="str">
        <f>IFERROR(_xlfn.XLOOKUP($A270,Input_Raw!$A:$A,Input_Raw!CG:CG),"")</f>
        <v/>
      </c>
      <c r="N270" s="125" t="str">
        <f>IFERROR(_xlfn.XLOOKUP($A270,Input_Raw!$A:$A,Input_Raw!CH:CH),"")</f>
        <v/>
      </c>
      <c r="O270" s="137" t="str">
        <f t="shared" si="27"/>
        <v/>
      </c>
      <c r="P270" s="137" t="str">
        <f>IFERROR(1-SUMIF(WTG_BD!$F:$F,$A270,WTG_BD!$AA:$AA)/($AA270+SUMIF(WTG_BD!$F:$F,$A270,WTG_BD!$AA:$AA)),"")</f>
        <v/>
      </c>
      <c r="Q270" s="138" t="str">
        <f>IFERROR(1-SUMIF(IGA_BD!$F:$F,$A270,IGA_BD!$V:$V)/($AA270+SUMIF(IGA_BD!$F:$F,$A270,IGA_BD!$V:$V)),"")</f>
        <v/>
      </c>
      <c r="R270" s="143" t="str">
        <f>IFERROR(1-SUMIF(Grid_BD!$F:$F,$A270,Grid_BD!$X:$X)/($AA270+SUMIF(Grid_BD!$F:$F,$A270,Grid_BD!$X:$X)),"")</f>
        <v/>
      </c>
      <c r="S270" s="121"/>
      <c r="T270" s="138"/>
      <c r="U270" s="139"/>
      <c r="V270" s="121"/>
      <c r="W270" s="140" t="str">
        <f>IFERROR(Table13[[#This Row],[Mtr_Net_Exp (KWh)]]/(24*AR270*1000),"")</f>
        <v/>
      </c>
      <c r="X270" s="121" t="str">
        <f>IFERROR(_xlfn.XLOOKUP($A270,Input_Raw!$A:$A,Input_Raw!$CF:$CF),"")</f>
        <v/>
      </c>
      <c r="Y270" s="121" t="str">
        <f>IFERROR(_xlfn.XLOOKUP($A270,Input_Raw!$A:$A,Input_Raw!$CZ:$CZ),"")</f>
        <v/>
      </c>
      <c r="Z270" s="121" t="str">
        <f>IFERROR(_xlfn.XLOOKUP($A270,Input_Raw!$A:$A,Input_Raw!$DA:$DA),"")</f>
        <v/>
      </c>
      <c r="AA270" s="123" t="str">
        <f t="shared" si="28"/>
        <v/>
      </c>
      <c r="AB270" s="121" t="str">
        <f>IFERROR(_xlfn.XLOOKUP($A270,Input_Raw!$A:$A,Input_Raw!$DG:$DG),"")</f>
        <v/>
      </c>
      <c r="AC270" s="141">
        <f>IFERROR(_xlfn.XLOOKUP($D270,'Modelling New'!$D:$D,'Modelling New'!$J:$J),"")</f>
        <v>4.4333333333333336</v>
      </c>
      <c r="AD270" s="123">
        <f>IFERROR(_xlfn.XLOOKUP($D270,'Modelling New'!$D:$D,'Modelling New'!$T:$T)*1000,"")</f>
        <v>183922.41431383044</v>
      </c>
      <c r="AE270" s="140"/>
      <c r="AF270" s="140">
        <f>IFERROR(_xlfn.XLOOKUP($D270,'Modelling New'!$D:$D,'Modelling New'!$W:$W),"")</f>
        <v>9.8249152945422247E-2</v>
      </c>
      <c r="AG270" s="140">
        <f>IFERROR(_xlfn.XLOOKUP($D270,'Modelling New'!$D:$D,'Modelling New'!$AE:$AE),"")</f>
        <v>0.96029999999999993</v>
      </c>
      <c r="AH270" s="140">
        <f>IFERROR(_xlfn.XLOOKUP($D270,'Modelling New'!$D:$D,'Modelling New'!$AF:$AF),"")</f>
        <v>0.995</v>
      </c>
      <c r="AI270" s="121" t="str">
        <f>IFERROR(_xlfn.XLOOKUP($A270,Input_Raw!$A:$A,Input_Raw!$DE:$DE),"")</f>
        <v/>
      </c>
      <c r="AJ270" s="121"/>
      <c r="AK270" s="121"/>
      <c r="AL270" s="121"/>
      <c r="AM270" s="121"/>
      <c r="AN270" s="142" t="str">
        <f>IFERROR(_xlfn.XLOOKUP($A270,Input_Raw!$A:$A,Input_Raw!$DB:$DB),"")</f>
        <v/>
      </c>
      <c r="AO270" s="140" t="str">
        <f>IFERROR((_xlfn.XLOOKUP($A270,'WTG Reactive Power'!$A:$A,'WTG Reactive Power'!$AR:$AR))/X270/1000,"")</f>
        <v/>
      </c>
      <c r="AP270" s="140">
        <f>IFERROR(_xlfn.XLOOKUP($D270,'Modelling New'!$D:$D,'Modelling New'!$AK:$AK),"")</f>
        <v>0.05</v>
      </c>
      <c r="AQ270" s="140">
        <f>IFERROR(_xlfn.XLOOKUP($D270,'Modelling New'!$D:$D,'Modelling New'!$AL:$AL),"")</f>
        <v>0.05</v>
      </c>
      <c r="AR270">
        <f>IFERROR(_xlfn.XLOOKUP($D270,'Modelling New'!$D:$D,'Modelling New'!$N:$N),"")</f>
        <v>78</v>
      </c>
    </row>
    <row r="271" spans="1:44">
      <c r="A271" s="134">
        <f t="shared" si="22"/>
        <v>46014</v>
      </c>
      <c r="B271" s="123">
        <f>YEAR(Table13[[#This Row],[Date]])+IF(MONTH(Table13[[#This Row],[Date]])&gt;=4,1,0)</f>
        <v>2026</v>
      </c>
      <c r="C271" s="121">
        <f>YEAR(Table13[[#This Row],[Date]])</f>
        <v>2025</v>
      </c>
      <c r="D271" s="135">
        <f>Table13[[#This Row],[Date]]-DAY(Table13[[#This Row],[Date]])+1</f>
        <v>45992</v>
      </c>
      <c r="E271" s="121">
        <f t="shared" si="26"/>
        <v>31</v>
      </c>
      <c r="F271" s="124"/>
      <c r="G271" s="125"/>
      <c r="H271" s="125"/>
      <c r="I271" s="125"/>
      <c r="J271" s="125"/>
      <c r="K271" s="136"/>
      <c r="L271" s="125"/>
      <c r="M271" s="125" t="str">
        <f>IFERROR(_xlfn.XLOOKUP($A271,Input_Raw!$A:$A,Input_Raw!CG:CG),"")</f>
        <v/>
      </c>
      <c r="N271" s="125" t="str">
        <f>IFERROR(_xlfn.XLOOKUP($A271,Input_Raw!$A:$A,Input_Raw!CH:CH),"")</f>
        <v/>
      </c>
      <c r="O271" s="137" t="str">
        <f t="shared" si="27"/>
        <v/>
      </c>
      <c r="P271" s="137" t="str">
        <f>IFERROR(1-SUMIF(WTG_BD!$F:$F,$A271,WTG_BD!$AA:$AA)/($AA271+SUMIF(WTG_BD!$F:$F,$A271,WTG_BD!$AA:$AA)),"")</f>
        <v/>
      </c>
      <c r="Q271" s="138" t="str">
        <f>IFERROR(1-SUMIF(IGA_BD!$F:$F,$A271,IGA_BD!$V:$V)/($AA271+SUMIF(IGA_BD!$F:$F,$A271,IGA_BD!$V:$V)),"")</f>
        <v/>
      </c>
      <c r="R271" s="143" t="str">
        <f>IFERROR(1-SUMIF(Grid_BD!$F:$F,$A271,Grid_BD!$X:$X)/($AA271+SUMIF(Grid_BD!$F:$F,$A271,Grid_BD!$X:$X)),"")</f>
        <v/>
      </c>
      <c r="S271" s="121"/>
      <c r="T271" s="138"/>
      <c r="U271" s="139"/>
      <c r="V271" s="121"/>
      <c r="W271" s="140" t="str">
        <f>IFERROR(Table13[[#This Row],[Mtr_Net_Exp (KWh)]]/(24*AR271*1000),"")</f>
        <v/>
      </c>
      <c r="X271" s="121" t="str">
        <f>IFERROR(_xlfn.XLOOKUP($A271,Input_Raw!$A:$A,Input_Raw!$CF:$CF),"")</f>
        <v/>
      </c>
      <c r="Y271" s="121" t="str">
        <f>IFERROR(_xlfn.XLOOKUP($A271,Input_Raw!$A:$A,Input_Raw!$CZ:$CZ),"")</f>
        <v/>
      </c>
      <c r="Z271" s="121" t="str">
        <f>IFERROR(_xlfn.XLOOKUP($A271,Input_Raw!$A:$A,Input_Raw!$DA:$DA),"")</f>
        <v/>
      </c>
      <c r="AA271" s="123" t="str">
        <f t="shared" si="28"/>
        <v/>
      </c>
      <c r="AB271" s="121" t="str">
        <f>IFERROR(_xlfn.XLOOKUP($A271,Input_Raw!$A:$A,Input_Raw!$DG:$DG),"")</f>
        <v/>
      </c>
      <c r="AC271" s="141">
        <f>IFERROR(_xlfn.XLOOKUP($D271,'Modelling New'!$D:$D,'Modelling New'!$J:$J),"")</f>
        <v>4.4333333333333336</v>
      </c>
      <c r="AD271" s="123">
        <f>IFERROR(_xlfn.XLOOKUP($D271,'Modelling New'!$D:$D,'Modelling New'!$T:$T)*1000,"")</f>
        <v>183922.41431383044</v>
      </c>
      <c r="AE271" s="140"/>
      <c r="AF271" s="140">
        <f>IFERROR(_xlfn.XLOOKUP($D271,'Modelling New'!$D:$D,'Modelling New'!$W:$W),"")</f>
        <v>9.8249152945422247E-2</v>
      </c>
      <c r="AG271" s="140">
        <f>IFERROR(_xlfn.XLOOKUP($D271,'Modelling New'!$D:$D,'Modelling New'!$AE:$AE),"")</f>
        <v>0.96029999999999993</v>
      </c>
      <c r="AH271" s="140">
        <f>IFERROR(_xlfn.XLOOKUP($D271,'Modelling New'!$D:$D,'Modelling New'!$AF:$AF),"")</f>
        <v>0.995</v>
      </c>
      <c r="AI271" s="121" t="str">
        <f>IFERROR(_xlfn.XLOOKUP($A271,Input_Raw!$A:$A,Input_Raw!$DE:$DE),"")</f>
        <v/>
      </c>
      <c r="AJ271" s="121"/>
      <c r="AK271" s="121"/>
      <c r="AL271" s="121"/>
      <c r="AM271" s="121"/>
      <c r="AN271" s="142" t="str">
        <f>IFERROR(_xlfn.XLOOKUP($A271,Input_Raw!$A:$A,Input_Raw!$DB:$DB),"")</f>
        <v/>
      </c>
      <c r="AO271" s="140" t="str">
        <f>IFERROR((_xlfn.XLOOKUP($A271,'WTG Reactive Power'!$A:$A,'WTG Reactive Power'!$AR:$AR))/X271/1000,"")</f>
        <v/>
      </c>
      <c r="AP271" s="140">
        <f>IFERROR(_xlfn.XLOOKUP($D271,'Modelling New'!$D:$D,'Modelling New'!$AK:$AK),"")</f>
        <v>0.05</v>
      </c>
      <c r="AQ271" s="140">
        <f>IFERROR(_xlfn.XLOOKUP($D271,'Modelling New'!$D:$D,'Modelling New'!$AL:$AL),"")</f>
        <v>0.05</v>
      </c>
      <c r="AR271">
        <f>IFERROR(_xlfn.XLOOKUP($D271,'Modelling New'!$D:$D,'Modelling New'!$N:$N),"")</f>
        <v>78</v>
      </c>
    </row>
    <row r="272" spans="1:44">
      <c r="A272" s="134">
        <f t="shared" si="22"/>
        <v>46015</v>
      </c>
      <c r="B272" s="123">
        <f>YEAR(Table13[[#This Row],[Date]])+IF(MONTH(Table13[[#This Row],[Date]])&gt;=4,1,0)</f>
        <v>2026</v>
      </c>
      <c r="C272" s="121">
        <f>YEAR(Table13[[#This Row],[Date]])</f>
        <v>2025</v>
      </c>
      <c r="D272" s="135">
        <f>Table13[[#This Row],[Date]]-DAY(Table13[[#This Row],[Date]])+1</f>
        <v>45992</v>
      </c>
      <c r="E272" s="121">
        <f t="shared" si="26"/>
        <v>31</v>
      </c>
      <c r="F272" s="124"/>
      <c r="G272" s="125"/>
      <c r="H272" s="125"/>
      <c r="I272" s="125"/>
      <c r="J272" s="125"/>
      <c r="K272" s="136"/>
      <c r="L272" s="125"/>
      <c r="M272" s="125" t="str">
        <f>IFERROR(_xlfn.XLOOKUP($A272,Input_Raw!$A:$A,Input_Raw!CG:CG),"")</f>
        <v/>
      </c>
      <c r="N272" s="125" t="str">
        <f>IFERROR(_xlfn.XLOOKUP($A272,Input_Raw!$A:$A,Input_Raw!CH:CH),"")</f>
        <v/>
      </c>
      <c r="O272" s="137" t="str">
        <f t="shared" si="27"/>
        <v/>
      </c>
      <c r="P272" s="137" t="str">
        <f>IFERROR(1-SUMIF(WTG_BD!$F:$F,$A272,WTG_BD!$AA:$AA)/($AA272+SUMIF(WTG_BD!$F:$F,$A272,WTG_BD!$AA:$AA)),"")</f>
        <v/>
      </c>
      <c r="Q272" s="138" t="str">
        <f>IFERROR(1-SUMIF(IGA_BD!$F:$F,$A272,IGA_BD!$V:$V)/($AA272+SUMIF(IGA_BD!$F:$F,$A272,IGA_BD!$V:$V)),"")</f>
        <v/>
      </c>
      <c r="R272" s="143" t="str">
        <f>IFERROR(1-SUMIF(Grid_BD!$F:$F,$A272,Grid_BD!$X:$X)/($AA272+SUMIF(Grid_BD!$F:$F,$A272,Grid_BD!$X:$X)),"")</f>
        <v/>
      </c>
      <c r="S272" s="121"/>
      <c r="T272" s="138"/>
      <c r="U272" s="139"/>
      <c r="V272" s="121"/>
      <c r="W272" s="140" t="str">
        <f>IFERROR(Table13[[#This Row],[Mtr_Net_Exp (KWh)]]/(24*AR272*1000),"")</f>
        <v/>
      </c>
      <c r="X272" s="121" t="str">
        <f>IFERROR(_xlfn.XLOOKUP($A272,Input_Raw!$A:$A,Input_Raw!$CF:$CF),"")</f>
        <v/>
      </c>
      <c r="Y272" s="121" t="str">
        <f>IFERROR(_xlfn.XLOOKUP($A272,Input_Raw!$A:$A,Input_Raw!$CZ:$CZ),"")</f>
        <v/>
      </c>
      <c r="Z272" s="121" t="str">
        <f>IFERROR(_xlfn.XLOOKUP($A272,Input_Raw!$A:$A,Input_Raw!$DA:$DA),"")</f>
        <v/>
      </c>
      <c r="AA272" s="123" t="str">
        <f t="shared" si="28"/>
        <v/>
      </c>
      <c r="AB272" s="121" t="str">
        <f>IFERROR(_xlfn.XLOOKUP($A272,Input_Raw!$A:$A,Input_Raw!$DG:$DG),"")</f>
        <v/>
      </c>
      <c r="AC272" s="141">
        <f>IFERROR(_xlfn.XLOOKUP($D272,'Modelling New'!$D:$D,'Modelling New'!$J:$J),"")</f>
        <v>4.4333333333333336</v>
      </c>
      <c r="AD272" s="123">
        <f>IFERROR(_xlfn.XLOOKUP($D272,'Modelling New'!$D:$D,'Modelling New'!$T:$T)*1000,"")</f>
        <v>183922.41431383044</v>
      </c>
      <c r="AE272" s="140"/>
      <c r="AF272" s="140">
        <f>IFERROR(_xlfn.XLOOKUP($D272,'Modelling New'!$D:$D,'Modelling New'!$W:$W),"")</f>
        <v>9.8249152945422247E-2</v>
      </c>
      <c r="AG272" s="140">
        <f>IFERROR(_xlfn.XLOOKUP($D272,'Modelling New'!$D:$D,'Modelling New'!$AE:$AE),"")</f>
        <v>0.96029999999999993</v>
      </c>
      <c r="AH272" s="140">
        <f>IFERROR(_xlfn.XLOOKUP($D272,'Modelling New'!$D:$D,'Modelling New'!$AF:$AF),"")</f>
        <v>0.995</v>
      </c>
      <c r="AI272" s="121" t="str">
        <f>IFERROR(_xlfn.XLOOKUP($A272,Input_Raw!$A:$A,Input_Raw!$DE:$DE),"")</f>
        <v/>
      </c>
      <c r="AJ272" s="121"/>
      <c r="AK272" s="121"/>
      <c r="AL272" s="121"/>
      <c r="AM272" s="121"/>
      <c r="AN272" s="142" t="str">
        <f>IFERROR(_xlfn.XLOOKUP($A272,Input_Raw!$A:$A,Input_Raw!$DB:$DB),"")</f>
        <v/>
      </c>
      <c r="AO272" s="140" t="str">
        <f>IFERROR((_xlfn.XLOOKUP($A272,'WTG Reactive Power'!$A:$A,'WTG Reactive Power'!$AR:$AR))/X272/1000,"")</f>
        <v/>
      </c>
      <c r="AP272" s="140">
        <f>IFERROR(_xlfn.XLOOKUP($D272,'Modelling New'!$D:$D,'Modelling New'!$AK:$AK),"")</f>
        <v>0.05</v>
      </c>
      <c r="AQ272" s="140">
        <f>IFERROR(_xlfn.XLOOKUP($D272,'Modelling New'!$D:$D,'Modelling New'!$AL:$AL),"")</f>
        <v>0.05</v>
      </c>
      <c r="AR272">
        <f>IFERROR(_xlfn.XLOOKUP($D272,'Modelling New'!$D:$D,'Modelling New'!$N:$N),"")</f>
        <v>78</v>
      </c>
    </row>
    <row r="273" spans="1:44">
      <c r="A273" s="134">
        <f t="shared" si="22"/>
        <v>46016</v>
      </c>
      <c r="B273" s="123">
        <f>YEAR(Table13[[#This Row],[Date]])+IF(MONTH(Table13[[#This Row],[Date]])&gt;=4,1,0)</f>
        <v>2026</v>
      </c>
      <c r="C273" s="121">
        <f>YEAR(Table13[[#This Row],[Date]])</f>
        <v>2025</v>
      </c>
      <c r="D273" s="135">
        <f>Table13[[#This Row],[Date]]-DAY(Table13[[#This Row],[Date]])+1</f>
        <v>45992</v>
      </c>
      <c r="E273" s="121">
        <f t="shared" si="26"/>
        <v>31</v>
      </c>
      <c r="F273" s="124"/>
      <c r="G273" s="125"/>
      <c r="H273" s="125"/>
      <c r="I273" s="125"/>
      <c r="J273" s="125"/>
      <c r="K273" s="136"/>
      <c r="L273" s="125"/>
      <c r="M273" s="125" t="str">
        <f>IFERROR(_xlfn.XLOOKUP($A273,Input_Raw!$A:$A,Input_Raw!CG:CG),"")</f>
        <v/>
      </c>
      <c r="N273" s="125" t="str">
        <f>IFERROR(_xlfn.XLOOKUP($A273,Input_Raw!$A:$A,Input_Raw!CH:CH),"")</f>
        <v/>
      </c>
      <c r="O273" s="137" t="str">
        <f t="shared" si="27"/>
        <v/>
      </c>
      <c r="P273" s="137" t="str">
        <f>IFERROR(1-SUMIF(WTG_BD!$F:$F,$A273,WTG_BD!$AA:$AA)/($AA273+SUMIF(WTG_BD!$F:$F,$A273,WTG_BD!$AA:$AA)),"")</f>
        <v/>
      </c>
      <c r="Q273" s="138" t="str">
        <f>IFERROR(1-SUMIF(IGA_BD!$F:$F,$A273,IGA_BD!$V:$V)/($AA273+SUMIF(IGA_BD!$F:$F,$A273,IGA_BD!$V:$V)),"")</f>
        <v/>
      </c>
      <c r="R273" s="143" t="str">
        <f>IFERROR(1-SUMIF(Grid_BD!$F:$F,$A273,Grid_BD!$X:$X)/($AA273+SUMIF(Grid_BD!$F:$F,$A273,Grid_BD!$X:$X)),"")</f>
        <v/>
      </c>
      <c r="S273" s="121"/>
      <c r="T273" s="138"/>
      <c r="U273" s="139"/>
      <c r="V273" s="121"/>
      <c r="W273" s="140" t="str">
        <f>IFERROR(Table13[[#This Row],[Mtr_Net_Exp (KWh)]]/(24*AR273*1000),"")</f>
        <v/>
      </c>
      <c r="X273" s="121" t="str">
        <f>IFERROR(_xlfn.XLOOKUP($A273,Input_Raw!$A:$A,Input_Raw!$CF:$CF),"")</f>
        <v/>
      </c>
      <c r="Y273" s="121" t="str">
        <f>IFERROR(_xlfn.XLOOKUP($A273,Input_Raw!$A:$A,Input_Raw!$CZ:$CZ),"")</f>
        <v/>
      </c>
      <c r="Z273" s="121" t="str">
        <f>IFERROR(_xlfn.XLOOKUP($A273,Input_Raw!$A:$A,Input_Raw!$DA:$DA),"")</f>
        <v/>
      </c>
      <c r="AA273" s="123" t="str">
        <f t="shared" si="28"/>
        <v/>
      </c>
      <c r="AB273" s="121" t="str">
        <f>IFERROR(_xlfn.XLOOKUP($A273,Input_Raw!$A:$A,Input_Raw!$DG:$DG),"")</f>
        <v/>
      </c>
      <c r="AC273" s="141">
        <f>IFERROR(_xlfn.XLOOKUP($D273,'Modelling New'!$D:$D,'Modelling New'!$J:$J),"")</f>
        <v>4.4333333333333336</v>
      </c>
      <c r="AD273" s="123">
        <f>IFERROR(_xlfn.XLOOKUP($D273,'Modelling New'!$D:$D,'Modelling New'!$T:$T)*1000,"")</f>
        <v>183922.41431383044</v>
      </c>
      <c r="AE273" s="140"/>
      <c r="AF273" s="140">
        <f>IFERROR(_xlfn.XLOOKUP($D273,'Modelling New'!$D:$D,'Modelling New'!$W:$W),"")</f>
        <v>9.8249152945422247E-2</v>
      </c>
      <c r="AG273" s="140">
        <f>IFERROR(_xlfn.XLOOKUP($D273,'Modelling New'!$D:$D,'Modelling New'!$AE:$AE),"")</f>
        <v>0.96029999999999993</v>
      </c>
      <c r="AH273" s="140">
        <f>IFERROR(_xlfn.XLOOKUP($D273,'Modelling New'!$D:$D,'Modelling New'!$AF:$AF),"")</f>
        <v>0.995</v>
      </c>
      <c r="AI273" s="121" t="str">
        <f>IFERROR(_xlfn.XLOOKUP($A273,Input_Raw!$A:$A,Input_Raw!$DE:$DE),"")</f>
        <v/>
      </c>
      <c r="AJ273" s="121"/>
      <c r="AK273" s="121"/>
      <c r="AL273" s="121"/>
      <c r="AM273" s="121"/>
      <c r="AN273" s="142" t="str">
        <f>IFERROR(_xlfn.XLOOKUP($A273,Input_Raw!$A:$A,Input_Raw!$DB:$DB),"")</f>
        <v/>
      </c>
      <c r="AO273" s="140" t="str">
        <f>IFERROR((_xlfn.XLOOKUP($A273,'WTG Reactive Power'!$A:$A,'WTG Reactive Power'!$AR:$AR))/X273/1000,"")</f>
        <v/>
      </c>
      <c r="AP273" s="140">
        <f>IFERROR(_xlfn.XLOOKUP($D273,'Modelling New'!$D:$D,'Modelling New'!$AK:$AK),"")</f>
        <v>0.05</v>
      </c>
      <c r="AQ273" s="140">
        <f>IFERROR(_xlfn.XLOOKUP($D273,'Modelling New'!$D:$D,'Modelling New'!$AL:$AL),"")</f>
        <v>0.05</v>
      </c>
      <c r="AR273">
        <f>IFERROR(_xlfn.XLOOKUP($D273,'Modelling New'!$D:$D,'Modelling New'!$N:$N),"")</f>
        <v>78</v>
      </c>
    </row>
    <row r="274" spans="1:44">
      <c r="A274" s="134">
        <f t="shared" si="22"/>
        <v>46017</v>
      </c>
      <c r="B274" s="123">
        <f>YEAR(Table13[[#This Row],[Date]])+IF(MONTH(Table13[[#This Row],[Date]])&gt;=4,1,0)</f>
        <v>2026</v>
      </c>
      <c r="C274" s="121">
        <f>YEAR(Table13[[#This Row],[Date]])</f>
        <v>2025</v>
      </c>
      <c r="D274" s="135">
        <f>Table13[[#This Row],[Date]]-DAY(Table13[[#This Row],[Date]])+1</f>
        <v>45992</v>
      </c>
      <c r="E274" s="121">
        <f t="shared" si="26"/>
        <v>31</v>
      </c>
      <c r="F274" s="124"/>
      <c r="G274" s="125"/>
      <c r="H274" s="125"/>
      <c r="I274" s="125"/>
      <c r="J274" s="125"/>
      <c r="K274" s="136"/>
      <c r="L274" s="125"/>
      <c r="M274" s="125" t="str">
        <f>IFERROR(_xlfn.XLOOKUP($A274,Input_Raw!$A:$A,Input_Raw!CG:CG),"")</f>
        <v/>
      </c>
      <c r="N274" s="125" t="str">
        <f>IFERROR(_xlfn.XLOOKUP($A274,Input_Raw!$A:$A,Input_Raw!CH:CH),"")</f>
        <v/>
      </c>
      <c r="O274" s="137" t="str">
        <f t="shared" si="27"/>
        <v/>
      </c>
      <c r="P274" s="137" t="str">
        <f>IFERROR(1-SUMIF(WTG_BD!$F:$F,$A274,WTG_BD!$AA:$AA)/($AA274+SUMIF(WTG_BD!$F:$F,$A274,WTG_BD!$AA:$AA)),"")</f>
        <v/>
      </c>
      <c r="Q274" s="138" t="str">
        <f>IFERROR(1-SUMIF(IGA_BD!$F:$F,$A274,IGA_BD!$V:$V)/($AA274+SUMIF(IGA_BD!$F:$F,$A274,IGA_BD!$V:$V)),"")</f>
        <v/>
      </c>
      <c r="R274" s="143" t="str">
        <f>IFERROR(1-SUMIF(Grid_BD!$F:$F,$A274,Grid_BD!$X:$X)/($AA274+SUMIF(Grid_BD!$F:$F,$A274,Grid_BD!$X:$X)),"")</f>
        <v/>
      </c>
      <c r="S274" s="121"/>
      <c r="T274" s="138"/>
      <c r="U274" s="139"/>
      <c r="V274" s="121"/>
      <c r="W274" s="140" t="str">
        <f>IFERROR(Table13[[#This Row],[Mtr_Net_Exp (KWh)]]/(24*AR274*1000),"")</f>
        <v/>
      </c>
      <c r="X274" s="121" t="str">
        <f>IFERROR(_xlfn.XLOOKUP($A274,Input_Raw!$A:$A,Input_Raw!$CF:$CF),"")</f>
        <v/>
      </c>
      <c r="Y274" s="121" t="str">
        <f>IFERROR(_xlfn.XLOOKUP($A274,Input_Raw!$A:$A,Input_Raw!$CZ:$CZ),"")</f>
        <v/>
      </c>
      <c r="Z274" s="121" t="str">
        <f>IFERROR(_xlfn.XLOOKUP($A274,Input_Raw!$A:$A,Input_Raw!$DA:$DA),"")</f>
        <v/>
      </c>
      <c r="AA274" s="123" t="str">
        <f t="shared" si="28"/>
        <v/>
      </c>
      <c r="AB274" s="121" t="str">
        <f>IFERROR(_xlfn.XLOOKUP($A274,Input_Raw!$A:$A,Input_Raw!$DG:$DG),"")</f>
        <v/>
      </c>
      <c r="AC274" s="141">
        <f>IFERROR(_xlfn.XLOOKUP($D274,'Modelling New'!$D:$D,'Modelling New'!$J:$J),"")</f>
        <v>4.4333333333333336</v>
      </c>
      <c r="AD274" s="123">
        <f>IFERROR(_xlfn.XLOOKUP($D274,'Modelling New'!$D:$D,'Modelling New'!$T:$T)*1000,"")</f>
        <v>183922.41431383044</v>
      </c>
      <c r="AE274" s="140"/>
      <c r="AF274" s="140">
        <f>IFERROR(_xlfn.XLOOKUP($D274,'Modelling New'!$D:$D,'Modelling New'!$W:$W),"")</f>
        <v>9.8249152945422247E-2</v>
      </c>
      <c r="AG274" s="140">
        <f>IFERROR(_xlfn.XLOOKUP($D274,'Modelling New'!$D:$D,'Modelling New'!$AE:$AE),"")</f>
        <v>0.96029999999999993</v>
      </c>
      <c r="AH274" s="140">
        <f>IFERROR(_xlfn.XLOOKUP($D274,'Modelling New'!$D:$D,'Modelling New'!$AF:$AF),"")</f>
        <v>0.995</v>
      </c>
      <c r="AI274" s="121" t="str">
        <f>IFERROR(_xlfn.XLOOKUP($A274,Input_Raw!$A:$A,Input_Raw!$DE:$DE),"")</f>
        <v/>
      </c>
      <c r="AJ274" s="121"/>
      <c r="AK274" s="121"/>
      <c r="AL274" s="121"/>
      <c r="AM274" s="121"/>
      <c r="AN274" s="142" t="str">
        <f>IFERROR(_xlfn.XLOOKUP($A274,Input_Raw!$A:$A,Input_Raw!$DB:$DB),"")</f>
        <v/>
      </c>
      <c r="AO274" s="140" t="str">
        <f>IFERROR((_xlfn.XLOOKUP($A274,'WTG Reactive Power'!$A:$A,'WTG Reactive Power'!$AR:$AR))/X274/1000,"")</f>
        <v/>
      </c>
      <c r="AP274" s="140">
        <f>IFERROR(_xlfn.XLOOKUP($D274,'Modelling New'!$D:$D,'Modelling New'!$AK:$AK),"")</f>
        <v>0.05</v>
      </c>
      <c r="AQ274" s="140">
        <f>IFERROR(_xlfn.XLOOKUP($D274,'Modelling New'!$D:$D,'Modelling New'!$AL:$AL),"")</f>
        <v>0.05</v>
      </c>
      <c r="AR274">
        <f>IFERROR(_xlfn.XLOOKUP($D274,'Modelling New'!$D:$D,'Modelling New'!$N:$N),"")</f>
        <v>78</v>
      </c>
    </row>
    <row r="275" spans="1:44">
      <c r="A275" s="134">
        <f t="shared" si="22"/>
        <v>46018</v>
      </c>
      <c r="B275" s="123">
        <f>YEAR(Table13[[#This Row],[Date]])+IF(MONTH(Table13[[#This Row],[Date]])&gt;=4,1,0)</f>
        <v>2026</v>
      </c>
      <c r="C275" s="121">
        <f>YEAR(Table13[[#This Row],[Date]])</f>
        <v>2025</v>
      </c>
      <c r="D275" s="135">
        <f>Table13[[#This Row],[Date]]-DAY(Table13[[#This Row],[Date]])+1</f>
        <v>45992</v>
      </c>
      <c r="E275" s="121">
        <f t="shared" si="26"/>
        <v>31</v>
      </c>
      <c r="F275" s="124"/>
      <c r="G275" s="125"/>
      <c r="H275" s="125"/>
      <c r="I275" s="125"/>
      <c r="J275" s="125"/>
      <c r="K275" s="136"/>
      <c r="L275" s="125"/>
      <c r="M275" s="125" t="str">
        <f>IFERROR(_xlfn.XLOOKUP($A275,Input_Raw!$A:$A,Input_Raw!CG:CG),"")</f>
        <v/>
      </c>
      <c r="N275" s="125" t="str">
        <f>IFERROR(_xlfn.XLOOKUP($A275,Input_Raw!$A:$A,Input_Raw!CH:CH),"")</f>
        <v/>
      </c>
      <c r="O275" s="137" t="str">
        <f t="shared" si="27"/>
        <v/>
      </c>
      <c r="P275" s="137" t="str">
        <f>IFERROR(1-SUMIF(WTG_BD!$F:$F,$A275,WTG_BD!$AA:$AA)/($AA275+SUMIF(WTG_BD!$F:$F,$A275,WTG_BD!$AA:$AA)),"")</f>
        <v/>
      </c>
      <c r="Q275" s="138" t="str">
        <f>IFERROR(1-SUMIF(IGA_BD!$F:$F,$A275,IGA_BD!$V:$V)/($AA275+SUMIF(IGA_BD!$F:$F,$A275,IGA_BD!$V:$V)),"")</f>
        <v/>
      </c>
      <c r="R275" s="143" t="str">
        <f>IFERROR(1-SUMIF(Grid_BD!$F:$F,$A275,Grid_BD!$X:$X)/($AA275+SUMIF(Grid_BD!$F:$F,$A275,Grid_BD!$X:$X)),"")</f>
        <v/>
      </c>
      <c r="S275" s="121"/>
      <c r="T275" s="138"/>
      <c r="U275" s="139"/>
      <c r="V275" s="121"/>
      <c r="W275" s="140" t="str">
        <f>IFERROR(Table13[[#This Row],[Mtr_Net_Exp (KWh)]]/(24*AR275*1000),"")</f>
        <v/>
      </c>
      <c r="X275" s="121" t="str">
        <f>IFERROR(_xlfn.XLOOKUP($A275,Input_Raw!$A:$A,Input_Raw!$CF:$CF),"")</f>
        <v/>
      </c>
      <c r="Y275" s="121" t="str">
        <f>IFERROR(_xlfn.XLOOKUP($A275,Input_Raw!$A:$A,Input_Raw!$CZ:$CZ),"")</f>
        <v/>
      </c>
      <c r="Z275" s="121" t="str">
        <f>IFERROR(_xlfn.XLOOKUP($A275,Input_Raw!$A:$A,Input_Raw!$DA:$DA),"")</f>
        <v/>
      </c>
      <c r="AA275" s="123" t="str">
        <f t="shared" si="28"/>
        <v/>
      </c>
      <c r="AB275" s="121" t="str">
        <f>IFERROR(_xlfn.XLOOKUP($A275,Input_Raw!$A:$A,Input_Raw!$DG:$DG),"")</f>
        <v/>
      </c>
      <c r="AC275" s="141">
        <f>IFERROR(_xlfn.XLOOKUP($D275,'Modelling New'!$D:$D,'Modelling New'!$J:$J),"")</f>
        <v>4.4333333333333336</v>
      </c>
      <c r="AD275" s="123">
        <f>IFERROR(_xlfn.XLOOKUP($D275,'Modelling New'!$D:$D,'Modelling New'!$T:$T)*1000,"")</f>
        <v>183922.41431383044</v>
      </c>
      <c r="AE275" s="140"/>
      <c r="AF275" s="140">
        <f>IFERROR(_xlfn.XLOOKUP($D275,'Modelling New'!$D:$D,'Modelling New'!$W:$W),"")</f>
        <v>9.8249152945422247E-2</v>
      </c>
      <c r="AG275" s="140">
        <f>IFERROR(_xlfn.XLOOKUP($D275,'Modelling New'!$D:$D,'Modelling New'!$AE:$AE),"")</f>
        <v>0.96029999999999993</v>
      </c>
      <c r="AH275" s="140">
        <f>IFERROR(_xlfn.XLOOKUP($D275,'Modelling New'!$D:$D,'Modelling New'!$AF:$AF),"")</f>
        <v>0.995</v>
      </c>
      <c r="AI275" s="121" t="str">
        <f>IFERROR(_xlfn.XLOOKUP($A275,Input_Raw!$A:$A,Input_Raw!$DE:$DE),"")</f>
        <v/>
      </c>
      <c r="AJ275" s="121"/>
      <c r="AK275" s="121"/>
      <c r="AL275" s="121"/>
      <c r="AM275" s="121"/>
      <c r="AN275" s="142" t="str">
        <f>IFERROR(_xlfn.XLOOKUP($A275,Input_Raw!$A:$A,Input_Raw!$DB:$DB),"")</f>
        <v/>
      </c>
      <c r="AO275" s="140" t="str">
        <f>IFERROR((_xlfn.XLOOKUP($A275,'WTG Reactive Power'!$A:$A,'WTG Reactive Power'!$AR:$AR))/X275/1000,"")</f>
        <v/>
      </c>
      <c r="AP275" s="140">
        <f>IFERROR(_xlfn.XLOOKUP($D275,'Modelling New'!$D:$D,'Modelling New'!$AK:$AK),"")</f>
        <v>0.05</v>
      </c>
      <c r="AQ275" s="140">
        <f>IFERROR(_xlfn.XLOOKUP($D275,'Modelling New'!$D:$D,'Modelling New'!$AL:$AL),"")</f>
        <v>0.05</v>
      </c>
      <c r="AR275">
        <f>IFERROR(_xlfn.XLOOKUP($D275,'Modelling New'!$D:$D,'Modelling New'!$N:$N),"")</f>
        <v>78</v>
      </c>
    </row>
    <row r="276" spans="1:44">
      <c r="A276" s="134">
        <f t="shared" si="22"/>
        <v>46019</v>
      </c>
      <c r="B276" s="123">
        <f>YEAR(Table13[[#This Row],[Date]])+IF(MONTH(Table13[[#This Row],[Date]])&gt;=4,1,0)</f>
        <v>2026</v>
      </c>
      <c r="C276" s="121">
        <f>YEAR(Table13[[#This Row],[Date]])</f>
        <v>2025</v>
      </c>
      <c r="D276" s="135">
        <f>Table13[[#This Row],[Date]]-DAY(Table13[[#This Row],[Date]])+1</f>
        <v>45992</v>
      </c>
      <c r="E276" s="121">
        <f t="shared" si="26"/>
        <v>31</v>
      </c>
      <c r="F276" s="124"/>
      <c r="G276" s="125"/>
      <c r="H276" s="125"/>
      <c r="I276" s="125"/>
      <c r="J276" s="125"/>
      <c r="K276" s="136"/>
      <c r="L276" s="125"/>
      <c r="M276" s="125" t="str">
        <f>IFERROR(_xlfn.XLOOKUP($A276,Input_Raw!$A:$A,Input_Raw!CG:CG),"")</f>
        <v/>
      </c>
      <c r="N276" s="125" t="str">
        <f>IFERROR(_xlfn.XLOOKUP($A276,Input_Raw!$A:$A,Input_Raw!CH:CH),"")</f>
        <v/>
      </c>
      <c r="O276" s="137" t="str">
        <f t="shared" si="27"/>
        <v/>
      </c>
      <c r="P276" s="137" t="str">
        <f>IFERROR(1-SUMIF(WTG_BD!$F:$F,$A276,WTG_BD!$AA:$AA)/($AA276+SUMIF(WTG_BD!$F:$F,$A276,WTG_BD!$AA:$AA)),"")</f>
        <v/>
      </c>
      <c r="Q276" s="138" t="str">
        <f>IFERROR(1-SUMIF(IGA_BD!$F:$F,$A276,IGA_BD!$V:$V)/($AA276+SUMIF(IGA_BD!$F:$F,$A276,IGA_BD!$V:$V)),"")</f>
        <v/>
      </c>
      <c r="R276" s="143" t="str">
        <f>IFERROR(1-SUMIF(Grid_BD!$F:$F,$A276,Grid_BD!$X:$X)/($AA276+SUMIF(Grid_BD!$F:$F,$A276,Grid_BD!$X:$X)),"")</f>
        <v/>
      </c>
      <c r="S276" s="121"/>
      <c r="T276" s="138"/>
      <c r="U276" s="139"/>
      <c r="V276" s="121"/>
      <c r="W276" s="140" t="str">
        <f>IFERROR(Table13[[#This Row],[Mtr_Net_Exp (KWh)]]/(24*AR276*1000),"")</f>
        <v/>
      </c>
      <c r="X276" s="121" t="str">
        <f>IFERROR(_xlfn.XLOOKUP($A276,Input_Raw!$A:$A,Input_Raw!$CF:$CF),"")</f>
        <v/>
      </c>
      <c r="Y276" s="121" t="str">
        <f>IFERROR(_xlfn.XLOOKUP($A276,Input_Raw!$A:$A,Input_Raw!$CZ:$CZ),"")</f>
        <v/>
      </c>
      <c r="Z276" s="121" t="str">
        <f>IFERROR(_xlfn.XLOOKUP($A276,Input_Raw!$A:$A,Input_Raw!$DA:$DA),"")</f>
        <v/>
      </c>
      <c r="AA276" s="123" t="str">
        <f t="shared" si="28"/>
        <v/>
      </c>
      <c r="AB276" s="121" t="str">
        <f>IFERROR(_xlfn.XLOOKUP($A276,Input_Raw!$A:$A,Input_Raw!$DG:$DG),"")</f>
        <v/>
      </c>
      <c r="AC276" s="141">
        <f>IFERROR(_xlfn.XLOOKUP($D276,'Modelling New'!$D:$D,'Modelling New'!$J:$J),"")</f>
        <v>4.4333333333333336</v>
      </c>
      <c r="AD276" s="123">
        <f>IFERROR(_xlfn.XLOOKUP($D276,'Modelling New'!$D:$D,'Modelling New'!$T:$T)*1000,"")</f>
        <v>183922.41431383044</v>
      </c>
      <c r="AE276" s="140"/>
      <c r="AF276" s="140">
        <f>IFERROR(_xlfn.XLOOKUP($D276,'Modelling New'!$D:$D,'Modelling New'!$W:$W),"")</f>
        <v>9.8249152945422247E-2</v>
      </c>
      <c r="AG276" s="140">
        <f>IFERROR(_xlfn.XLOOKUP($D276,'Modelling New'!$D:$D,'Modelling New'!$AE:$AE),"")</f>
        <v>0.96029999999999993</v>
      </c>
      <c r="AH276" s="140">
        <f>IFERROR(_xlfn.XLOOKUP($D276,'Modelling New'!$D:$D,'Modelling New'!$AF:$AF),"")</f>
        <v>0.995</v>
      </c>
      <c r="AI276" s="121" t="str">
        <f>IFERROR(_xlfn.XLOOKUP($A276,Input_Raw!$A:$A,Input_Raw!$DE:$DE),"")</f>
        <v/>
      </c>
      <c r="AJ276" s="121"/>
      <c r="AK276" s="121"/>
      <c r="AL276" s="121"/>
      <c r="AM276" s="121"/>
      <c r="AN276" s="142" t="str">
        <f>IFERROR(_xlfn.XLOOKUP($A276,Input_Raw!$A:$A,Input_Raw!$DB:$DB),"")</f>
        <v/>
      </c>
      <c r="AO276" s="140" t="str">
        <f>IFERROR((_xlfn.XLOOKUP($A276,'WTG Reactive Power'!$A:$A,'WTG Reactive Power'!$AR:$AR))/X276/1000,"")</f>
        <v/>
      </c>
      <c r="AP276" s="140">
        <f>IFERROR(_xlfn.XLOOKUP($D276,'Modelling New'!$D:$D,'Modelling New'!$AK:$AK),"")</f>
        <v>0.05</v>
      </c>
      <c r="AQ276" s="140">
        <f>IFERROR(_xlfn.XLOOKUP($D276,'Modelling New'!$D:$D,'Modelling New'!$AL:$AL),"")</f>
        <v>0.05</v>
      </c>
      <c r="AR276">
        <f>IFERROR(_xlfn.XLOOKUP($D276,'Modelling New'!$D:$D,'Modelling New'!$N:$N),"")</f>
        <v>78</v>
      </c>
    </row>
    <row r="277" spans="1:44">
      <c r="A277" s="134">
        <f t="shared" si="22"/>
        <v>46020</v>
      </c>
      <c r="B277" s="123">
        <f>YEAR(Table13[[#This Row],[Date]])+IF(MONTH(Table13[[#This Row],[Date]])&gt;=4,1,0)</f>
        <v>2026</v>
      </c>
      <c r="C277" s="121">
        <f>YEAR(Table13[[#This Row],[Date]])</f>
        <v>2025</v>
      </c>
      <c r="D277" s="135">
        <f>Table13[[#This Row],[Date]]-DAY(Table13[[#This Row],[Date]])+1</f>
        <v>45992</v>
      </c>
      <c r="E277" s="121">
        <f t="shared" si="26"/>
        <v>31</v>
      </c>
      <c r="F277" s="124"/>
      <c r="G277" s="125"/>
      <c r="H277" s="125"/>
      <c r="I277" s="125"/>
      <c r="J277" s="125"/>
      <c r="K277" s="136"/>
      <c r="L277" s="125"/>
      <c r="M277" s="125" t="str">
        <f>IFERROR(_xlfn.XLOOKUP($A277,Input_Raw!$A:$A,Input_Raw!CG:CG),"")</f>
        <v/>
      </c>
      <c r="N277" s="125" t="str">
        <f>IFERROR(_xlfn.XLOOKUP($A277,Input_Raw!$A:$A,Input_Raw!CH:CH),"")</f>
        <v/>
      </c>
      <c r="O277" s="137" t="str">
        <f t="shared" si="27"/>
        <v/>
      </c>
      <c r="P277" s="137" t="str">
        <f>IFERROR(1-SUMIF(WTG_BD!$F:$F,$A277,WTG_BD!$AA:$AA)/($AA277+SUMIF(WTG_BD!$F:$F,$A277,WTG_BD!$AA:$AA)),"")</f>
        <v/>
      </c>
      <c r="Q277" s="138" t="str">
        <f>IFERROR(1-SUMIF(IGA_BD!$F:$F,$A277,IGA_BD!$V:$V)/($AA277+SUMIF(IGA_BD!$F:$F,$A277,IGA_BD!$V:$V)),"")</f>
        <v/>
      </c>
      <c r="R277" s="143" t="str">
        <f>IFERROR(1-SUMIF(Grid_BD!$F:$F,$A277,Grid_BD!$X:$X)/($AA277+SUMIF(Grid_BD!$F:$F,$A277,Grid_BD!$X:$X)),"")</f>
        <v/>
      </c>
      <c r="S277" s="121"/>
      <c r="T277" s="138"/>
      <c r="U277" s="139"/>
      <c r="V277" s="121"/>
      <c r="W277" s="140" t="str">
        <f>IFERROR(Table13[[#This Row],[Mtr_Net_Exp (KWh)]]/(24*AR277*1000),"")</f>
        <v/>
      </c>
      <c r="X277" s="121" t="str">
        <f>IFERROR(_xlfn.XLOOKUP($A277,Input_Raw!$A:$A,Input_Raw!$CF:$CF),"")</f>
        <v/>
      </c>
      <c r="Y277" s="121" t="str">
        <f>IFERROR(_xlfn.XLOOKUP($A277,Input_Raw!$A:$A,Input_Raw!$CZ:$CZ),"")</f>
        <v/>
      </c>
      <c r="Z277" s="121" t="str">
        <f>IFERROR(_xlfn.XLOOKUP($A277,Input_Raw!$A:$A,Input_Raw!$DA:$DA),"")</f>
        <v/>
      </c>
      <c r="AA277" s="123" t="str">
        <f t="shared" si="28"/>
        <v/>
      </c>
      <c r="AB277" s="121" t="str">
        <f>IFERROR(_xlfn.XLOOKUP($A277,Input_Raw!$A:$A,Input_Raw!$DG:$DG),"")</f>
        <v/>
      </c>
      <c r="AC277" s="141">
        <f>IFERROR(_xlfn.XLOOKUP($D277,'Modelling New'!$D:$D,'Modelling New'!$J:$J),"")</f>
        <v>4.4333333333333336</v>
      </c>
      <c r="AD277" s="123">
        <f>IFERROR(_xlfn.XLOOKUP($D277,'Modelling New'!$D:$D,'Modelling New'!$T:$T)*1000,"")</f>
        <v>183922.41431383044</v>
      </c>
      <c r="AE277" s="140"/>
      <c r="AF277" s="140">
        <f>IFERROR(_xlfn.XLOOKUP($D277,'Modelling New'!$D:$D,'Modelling New'!$W:$W),"")</f>
        <v>9.8249152945422247E-2</v>
      </c>
      <c r="AG277" s="140">
        <f>IFERROR(_xlfn.XLOOKUP($D277,'Modelling New'!$D:$D,'Modelling New'!$AE:$AE),"")</f>
        <v>0.96029999999999993</v>
      </c>
      <c r="AH277" s="140">
        <f>IFERROR(_xlfn.XLOOKUP($D277,'Modelling New'!$D:$D,'Modelling New'!$AF:$AF),"")</f>
        <v>0.995</v>
      </c>
      <c r="AI277" s="121" t="str">
        <f>IFERROR(_xlfn.XLOOKUP($A277,Input_Raw!$A:$A,Input_Raw!$DE:$DE),"")</f>
        <v/>
      </c>
      <c r="AJ277" s="121"/>
      <c r="AK277" s="121"/>
      <c r="AL277" s="121"/>
      <c r="AM277" s="121"/>
      <c r="AN277" s="142" t="str">
        <f>IFERROR(_xlfn.XLOOKUP($A277,Input_Raw!$A:$A,Input_Raw!$DB:$DB),"")</f>
        <v/>
      </c>
      <c r="AO277" s="140" t="str">
        <f>IFERROR((_xlfn.XLOOKUP($A277,'WTG Reactive Power'!$A:$A,'WTG Reactive Power'!$AR:$AR))/X277/1000,"")</f>
        <v/>
      </c>
      <c r="AP277" s="140">
        <f>IFERROR(_xlfn.XLOOKUP($D277,'Modelling New'!$D:$D,'Modelling New'!$AK:$AK),"")</f>
        <v>0.05</v>
      </c>
      <c r="AQ277" s="140">
        <f>IFERROR(_xlfn.XLOOKUP($D277,'Modelling New'!$D:$D,'Modelling New'!$AL:$AL),"")</f>
        <v>0.05</v>
      </c>
      <c r="AR277">
        <f>IFERROR(_xlfn.XLOOKUP($D277,'Modelling New'!$D:$D,'Modelling New'!$N:$N),"")</f>
        <v>78</v>
      </c>
    </row>
    <row r="278" spans="1:44">
      <c r="A278" s="134">
        <f t="shared" si="22"/>
        <v>46021</v>
      </c>
      <c r="B278" s="123">
        <f>YEAR(Table13[[#This Row],[Date]])+IF(MONTH(Table13[[#This Row],[Date]])&gt;=4,1,0)</f>
        <v>2026</v>
      </c>
      <c r="C278" s="121">
        <f>YEAR(Table13[[#This Row],[Date]])</f>
        <v>2025</v>
      </c>
      <c r="D278" s="135">
        <f>Table13[[#This Row],[Date]]-DAY(Table13[[#This Row],[Date]])+1</f>
        <v>45992</v>
      </c>
      <c r="E278" s="121">
        <f t="shared" si="26"/>
        <v>31</v>
      </c>
      <c r="F278" s="124"/>
      <c r="G278" s="125"/>
      <c r="H278" s="125"/>
      <c r="I278" s="125"/>
      <c r="J278" s="125"/>
      <c r="K278" s="136"/>
      <c r="L278" s="125"/>
      <c r="M278" s="125" t="str">
        <f>IFERROR(_xlfn.XLOOKUP($A278,Input_Raw!$A:$A,Input_Raw!CG:CG),"")</f>
        <v/>
      </c>
      <c r="N278" s="125" t="str">
        <f>IFERROR(_xlfn.XLOOKUP($A278,Input_Raw!$A:$A,Input_Raw!CH:CH),"")</f>
        <v/>
      </c>
      <c r="O278" s="137" t="str">
        <f t="shared" si="27"/>
        <v/>
      </c>
      <c r="P278" s="137" t="str">
        <f>IFERROR(1-SUMIF(WTG_BD!$F:$F,$A278,WTG_BD!$AA:$AA)/($AA278+SUMIF(WTG_BD!$F:$F,$A278,WTG_BD!$AA:$AA)),"")</f>
        <v/>
      </c>
      <c r="Q278" s="138" t="str">
        <f>IFERROR(1-SUMIF(IGA_BD!$F:$F,$A278,IGA_BD!$V:$V)/($AA278+SUMIF(IGA_BD!$F:$F,$A278,IGA_BD!$V:$V)),"")</f>
        <v/>
      </c>
      <c r="R278" s="143" t="str">
        <f>IFERROR(1-SUMIF(Grid_BD!$F:$F,$A278,Grid_BD!$X:$X)/($AA278+SUMIF(Grid_BD!$F:$F,$A278,Grid_BD!$X:$X)),"")</f>
        <v/>
      </c>
      <c r="S278" s="121"/>
      <c r="T278" s="138"/>
      <c r="U278" s="139"/>
      <c r="V278" s="121"/>
      <c r="W278" s="140" t="str">
        <f>IFERROR(Table13[[#This Row],[Mtr_Net_Exp (KWh)]]/(24*AR278*1000),"")</f>
        <v/>
      </c>
      <c r="X278" s="121" t="str">
        <f>IFERROR(_xlfn.XLOOKUP($A278,Input_Raw!$A:$A,Input_Raw!$CF:$CF),"")</f>
        <v/>
      </c>
      <c r="Y278" s="121" t="str">
        <f>IFERROR(_xlfn.XLOOKUP($A278,Input_Raw!$A:$A,Input_Raw!$CZ:$CZ),"")</f>
        <v/>
      </c>
      <c r="Z278" s="121" t="str">
        <f>IFERROR(_xlfn.XLOOKUP($A278,Input_Raw!$A:$A,Input_Raw!$DA:$DA),"")</f>
        <v/>
      </c>
      <c r="AA278" s="123" t="str">
        <f t="shared" si="28"/>
        <v/>
      </c>
      <c r="AB278" s="121" t="str">
        <f>IFERROR(_xlfn.XLOOKUP($A278,Input_Raw!$A:$A,Input_Raw!$DG:$DG),"")</f>
        <v/>
      </c>
      <c r="AC278" s="141">
        <f>IFERROR(_xlfn.XLOOKUP($D278,'Modelling New'!$D:$D,'Modelling New'!$J:$J),"")</f>
        <v>4.4333333333333336</v>
      </c>
      <c r="AD278" s="123">
        <f>IFERROR(_xlfn.XLOOKUP($D278,'Modelling New'!$D:$D,'Modelling New'!$T:$T)*1000,"")</f>
        <v>183922.41431383044</v>
      </c>
      <c r="AE278" s="140"/>
      <c r="AF278" s="140">
        <f>IFERROR(_xlfn.XLOOKUP($D278,'Modelling New'!$D:$D,'Modelling New'!$W:$W),"")</f>
        <v>9.8249152945422247E-2</v>
      </c>
      <c r="AG278" s="140">
        <f>IFERROR(_xlfn.XLOOKUP($D278,'Modelling New'!$D:$D,'Modelling New'!$AE:$AE),"")</f>
        <v>0.96029999999999993</v>
      </c>
      <c r="AH278" s="140">
        <f>IFERROR(_xlfn.XLOOKUP($D278,'Modelling New'!$D:$D,'Modelling New'!$AF:$AF),"")</f>
        <v>0.995</v>
      </c>
      <c r="AI278" s="121" t="str">
        <f>IFERROR(_xlfn.XLOOKUP($A278,Input_Raw!$A:$A,Input_Raw!$DE:$DE),"")</f>
        <v/>
      </c>
      <c r="AJ278" s="121"/>
      <c r="AK278" s="121"/>
      <c r="AL278" s="121"/>
      <c r="AM278" s="121"/>
      <c r="AN278" s="142" t="str">
        <f>IFERROR(_xlfn.XLOOKUP($A278,Input_Raw!$A:$A,Input_Raw!$DB:$DB),"")</f>
        <v/>
      </c>
      <c r="AO278" s="140" t="str">
        <f>IFERROR((_xlfn.XLOOKUP($A278,'WTG Reactive Power'!$A:$A,'WTG Reactive Power'!$AR:$AR))/X278/1000,"")</f>
        <v/>
      </c>
      <c r="AP278" s="140">
        <f>IFERROR(_xlfn.XLOOKUP($D278,'Modelling New'!$D:$D,'Modelling New'!$AK:$AK),"")</f>
        <v>0.05</v>
      </c>
      <c r="AQ278" s="140">
        <f>IFERROR(_xlfn.XLOOKUP($D278,'Modelling New'!$D:$D,'Modelling New'!$AL:$AL),"")</f>
        <v>0.05</v>
      </c>
      <c r="AR278">
        <f>IFERROR(_xlfn.XLOOKUP($D278,'Modelling New'!$D:$D,'Modelling New'!$N:$N),"")</f>
        <v>78</v>
      </c>
    </row>
    <row r="279" spans="1:44">
      <c r="A279" s="134">
        <f t="shared" si="22"/>
        <v>46022</v>
      </c>
      <c r="B279" s="123">
        <f>YEAR(Table13[[#This Row],[Date]])+IF(MONTH(Table13[[#This Row],[Date]])&gt;=4,1,0)</f>
        <v>2026</v>
      </c>
      <c r="C279" s="121">
        <f>YEAR(Table13[[#This Row],[Date]])</f>
        <v>2025</v>
      </c>
      <c r="D279" s="135">
        <f>Table13[[#This Row],[Date]]-DAY(Table13[[#This Row],[Date]])+1</f>
        <v>45992</v>
      </c>
      <c r="E279" s="121">
        <f t="shared" si="26"/>
        <v>31</v>
      </c>
      <c r="F279" s="124"/>
      <c r="G279" s="125"/>
      <c r="H279" s="125"/>
      <c r="I279" s="125"/>
      <c r="J279" s="125"/>
      <c r="K279" s="136"/>
      <c r="L279" s="125"/>
      <c r="M279" s="125" t="str">
        <f>IFERROR(_xlfn.XLOOKUP($A279,Input_Raw!$A:$A,Input_Raw!CG:CG),"")</f>
        <v/>
      </c>
      <c r="N279" s="125" t="str">
        <f>IFERROR(_xlfn.XLOOKUP($A279,Input_Raw!$A:$A,Input_Raw!CH:CH),"")</f>
        <v/>
      </c>
      <c r="O279" s="137" t="str">
        <f t="shared" si="27"/>
        <v/>
      </c>
      <c r="P279" s="137" t="str">
        <f>IFERROR(1-SUMIF(WTG_BD!$F:$F,$A279,WTG_BD!$AA:$AA)/($AA279+SUMIF(WTG_BD!$F:$F,$A279,WTG_BD!$AA:$AA)),"")</f>
        <v/>
      </c>
      <c r="Q279" s="138" t="str">
        <f>IFERROR(1-SUMIF(IGA_BD!$F:$F,$A279,IGA_BD!$V:$V)/($AA279+SUMIF(IGA_BD!$F:$F,$A279,IGA_BD!$V:$V)),"")</f>
        <v/>
      </c>
      <c r="R279" s="143" t="str">
        <f>IFERROR(1-SUMIF(Grid_BD!$F:$F,$A279,Grid_BD!$X:$X)/($AA279+SUMIF(Grid_BD!$F:$F,$A279,Grid_BD!$X:$X)),"")</f>
        <v/>
      </c>
      <c r="S279" s="121"/>
      <c r="T279" s="138"/>
      <c r="U279" s="139"/>
      <c r="V279" s="121"/>
      <c r="W279" s="140" t="str">
        <f>IFERROR(Table13[[#This Row],[Mtr_Net_Exp (KWh)]]/(24*AR279*1000),"")</f>
        <v/>
      </c>
      <c r="X279" s="121" t="str">
        <f>IFERROR(_xlfn.XLOOKUP($A279,Input_Raw!$A:$A,Input_Raw!$CF:$CF),"")</f>
        <v/>
      </c>
      <c r="Y279" s="121" t="str">
        <f>IFERROR(_xlfn.XLOOKUP($A279,Input_Raw!$A:$A,Input_Raw!$CZ:$CZ),"")</f>
        <v/>
      </c>
      <c r="Z279" s="121" t="str">
        <f>IFERROR(_xlfn.XLOOKUP($A279,Input_Raw!$A:$A,Input_Raw!$DA:$DA),"")</f>
        <v/>
      </c>
      <c r="AA279" s="123" t="str">
        <f t="shared" si="28"/>
        <v/>
      </c>
      <c r="AB279" s="121" t="str">
        <f>IFERROR(_xlfn.XLOOKUP($A279,Input_Raw!$A:$A,Input_Raw!$DG:$DG),"")</f>
        <v/>
      </c>
      <c r="AC279" s="141">
        <f>IFERROR(_xlfn.XLOOKUP($D279,'Modelling New'!$D:$D,'Modelling New'!$J:$J),"")</f>
        <v>4.4333333333333336</v>
      </c>
      <c r="AD279" s="123">
        <f>IFERROR(_xlfn.XLOOKUP($D279,'Modelling New'!$D:$D,'Modelling New'!$T:$T)*1000,"")</f>
        <v>183922.41431383044</v>
      </c>
      <c r="AE279" s="140"/>
      <c r="AF279" s="140">
        <f>IFERROR(_xlfn.XLOOKUP($D279,'Modelling New'!$D:$D,'Modelling New'!$W:$W),"")</f>
        <v>9.8249152945422247E-2</v>
      </c>
      <c r="AG279" s="140">
        <f>IFERROR(_xlfn.XLOOKUP($D279,'Modelling New'!$D:$D,'Modelling New'!$AE:$AE),"")</f>
        <v>0.96029999999999993</v>
      </c>
      <c r="AH279" s="140">
        <f>IFERROR(_xlfn.XLOOKUP($D279,'Modelling New'!$D:$D,'Modelling New'!$AF:$AF),"")</f>
        <v>0.995</v>
      </c>
      <c r="AI279" s="121" t="str">
        <f>IFERROR(_xlfn.XLOOKUP($A279,Input_Raw!$A:$A,Input_Raw!$DE:$DE),"")</f>
        <v/>
      </c>
      <c r="AJ279" s="121"/>
      <c r="AK279" s="121"/>
      <c r="AL279" s="121"/>
      <c r="AM279" s="121"/>
      <c r="AN279" s="142" t="str">
        <f>IFERROR(_xlfn.XLOOKUP($A279,Input_Raw!$A:$A,Input_Raw!$DB:$DB),"")</f>
        <v/>
      </c>
      <c r="AO279" s="140" t="str">
        <f>IFERROR((_xlfn.XLOOKUP($A279,'WTG Reactive Power'!$A:$A,'WTG Reactive Power'!$AR:$AR))/X279/1000,"")</f>
        <v/>
      </c>
      <c r="AP279" s="140">
        <f>IFERROR(_xlfn.XLOOKUP($D279,'Modelling New'!$D:$D,'Modelling New'!$AK:$AK),"")</f>
        <v>0.05</v>
      </c>
      <c r="AQ279" s="140">
        <f>IFERROR(_xlfn.XLOOKUP($D279,'Modelling New'!$D:$D,'Modelling New'!$AL:$AL),"")</f>
        <v>0.05</v>
      </c>
      <c r="AR279">
        <f>IFERROR(_xlfn.XLOOKUP($D279,'Modelling New'!$D:$D,'Modelling New'!$N:$N),"")</f>
        <v>78</v>
      </c>
    </row>
    <row r="280" spans="1:44">
      <c r="A280" s="134">
        <f t="shared" si="22"/>
        <v>46023</v>
      </c>
      <c r="B280" s="123">
        <f>YEAR(Table13[[#This Row],[Date]])+IF(MONTH(Table13[[#This Row],[Date]])&gt;=4,1,0)</f>
        <v>2026</v>
      </c>
      <c r="C280" s="121">
        <f>YEAR(Table13[[#This Row],[Date]])</f>
        <v>2026</v>
      </c>
      <c r="D280" s="135">
        <f>Table13[[#This Row],[Date]]-DAY(Table13[[#This Row],[Date]])+1</f>
        <v>46023</v>
      </c>
      <c r="E280" s="121">
        <f t="shared" si="26"/>
        <v>31</v>
      </c>
      <c r="F280" s="124"/>
      <c r="G280" s="125"/>
      <c r="H280" s="125"/>
      <c r="I280" s="125"/>
      <c r="J280" s="125"/>
      <c r="K280" s="136"/>
      <c r="L280" s="125"/>
      <c r="M280" s="125" t="str">
        <f>IFERROR(_xlfn.XLOOKUP($A280,Input_Raw!$A:$A,Input_Raw!CG:CG),"")</f>
        <v/>
      </c>
      <c r="N280" s="125" t="str">
        <f>IFERROR(_xlfn.XLOOKUP($A280,Input_Raw!$A:$A,Input_Raw!CH:CH),"")</f>
        <v/>
      </c>
      <c r="O280" s="137" t="str">
        <f t="shared" si="27"/>
        <v/>
      </c>
      <c r="P280" s="137" t="str">
        <f>IFERROR(1-SUMIF(WTG_BD!$F:$F,$A280,WTG_BD!$AA:$AA)/($AA280+SUMIF(WTG_BD!$F:$F,$A280,WTG_BD!$AA:$AA)),"")</f>
        <v/>
      </c>
      <c r="Q280" s="138" t="str">
        <f>IFERROR(1-SUMIF(IGA_BD!$F:$F,$A280,IGA_BD!$V:$V)/($AA280+SUMIF(IGA_BD!$F:$F,$A280,IGA_BD!$V:$V)),"")</f>
        <v/>
      </c>
      <c r="R280" s="143" t="str">
        <f>IFERROR(1-SUMIF(Grid_BD!$F:$F,$A280,Grid_BD!$X:$X)/($AA280+SUMIF(Grid_BD!$F:$F,$A280,Grid_BD!$X:$X)),"")</f>
        <v/>
      </c>
      <c r="S280" s="121"/>
      <c r="T280" s="138"/>
      <c r="U280" s="139"/>
      <c r="V280" s="121"/>
      <c r="W280" s="140" t="str">
        <f>IFERROR(Table13[[#This Row],[Mtr_Net_Exp (KWh)]]/(24*AR280*1000),"")</f>
        <v/>
      </c>
      <c r="X280" s="121" t="str">
        <f>IFERROR(_xlfn.XLOOKUP($A280,Input_Raw!$A:$A,Input_Raw!$CF:$CF),"")</f>
        <v/>
      </c>
      <c r="Y280" s="121" t="str">
        <f>IFERROR(_xlfn.XLOOKUP($A280,Input_Raw!$A:$A,Input_Raw!$CZ:$CZ),"")</f>
        <v/>
      </c>
      <c r="Z280" s="121" t="str">
        <f>IFERROR(_xlfn.XLOOKUP($A280,Input_Raw!$A:$A,Input_Raw!$DA:$DA),"")</f>
        <v/>
      </c>
      <c r="AA280" s="123" t="str">
        <f t="shared" si="28"/>
        <v/>
      </c>
      <c r="AB280" s="121" t="str">
        <f>IFERROR(_xlfn.XLOOKUP($A280,Input_Raw!$A:$A,Input_Raw!$DG:$DG),"")</f>
        <v/>
      </c>
      <c r="AC280" s="141">
        <f>IFERROR(_xlfn.XLOOKUP($D280,'Modelling New'!$D:$D,'Modelling New'!$J:$J),"")</f>
        <v>3.8</v>
      </c>
      <c r="AD280" s="123">
        <f>IFERROR(_xlfn.XLOOKUP($D280,'Modelling New'!$D:$D,'Modelling New'!$T:$T)*1000,"")</f>
        <v>128093.39599615177</v>
      </c>
      <c r="AE280" s="140"/>
      <c r="AF280" s="140">
        <f>IFERROR(_xlfn.XLOOKUP($D280,'Modelling New'!$D:$D,'Modelling New'!$W:$W),"")</f>
        <v>6.8425959399653721E-2</v>
      </c>
      <c r="AG280" s="140">
        <f>IFERROR(_xlfn.XLOOKUP($D280,'Modelling New'!$D:$D,'Modelling New'!$AE:$AE),"")</f>
        <v>0.96029999999999993</v>
      </c>
      <c r="AH280" s="140">
        <f>IFERROR(_xlfn.XLOOKUP($D280,'Modelling New'!$D:$D,'Modelling New'!$AF:$AF),"")</f>
        <v>0.995</v>
      </c>
      <c r="AI280" s="121" t="str">
        <f>IFERROR(_xlfn.XLOOKUP($A280,Input_Raw!$A:$A,Input_Raw!$DE:$DE),"")</f>
        <v/>
      </c>
      <c r="AJ280" s="121"/>
      <c r="AK280" s="121"/>
      <c r="AL280" s="121"/>
      <c r="AM280" s="121"/>
      <c r="AN280" s="142" t="str">
        <f>IFERROR(_xlfn.XLOOKUP($A280,Input_Raw!$A:$A,Input_Raw!$DB:$DB),"")</f>
        <v/>
      </c>
      <c r="AO280" s="140" t="str">
        <f>IFERROR((_xlfn.XLOOKUP($A280,'WTG Reactive Power'!$A:$A,'WTG Reactive Power'!$AR:$AR))/X280/1000,"")</f>
        <v/>
      </c>
      <c r="AP280" s="140">
        <f>IFERROR(_xlfn.XLOOKUP($D280,'Modelling New'!$D:$D,'Modelling New'!$AK:$AK),"")</f>
        <v>0.05</v>
      </c>
      <c r="AQ280" s="140">
        <f>IFERROR(_xlfn.XLOOKUP($D280,'Modelling New'!$D:$D,'Modelling New'!$AL:$AL),"")</f>
        <v>0.05</v>
      </c>
      <c r="AR280">
        <f>IFERROR(_xlfn.XLOOKUP($D280,'Modelling New'!$D:$D,'Modelling New'!$N:$N),"")</f>
        <v>78</v>
      </c>
    </row>
    <row r="281" spans="1:44">
      <c r="A281" s="134">
        <f t="shared" si="22"/>
        <v>46024</v>
      </c>
      <c r="B281" s="123">
        <f>YEAR(Table13[[#This Row],[Date]])+IF(MONTH(Table13[[#This Row],[Date]])&gt;=4,1,0)</f>
        <v>2026</v>
      </c>
      <c r="C281" s="121">
        <f>YEAR(Table13[[#This Row],[Date]])</f>
        <v>2026</v>
      </c>
      <c r="D281" s="135">
        <f>Table13[[#This Row],[Date]]-DAY(Table13[[#This Row],[Date]])+1</f>
        <v>46023</v>
      </c>
      <c r="E281" s="121">
        <f t="shared" si="26"/>
        <v>31</v>
      </c>
      <c r="F281" s="124"/>
      <c r="G281" s="125"/>
      <c r="H281" s="125"/>
      <c r="I281" s="125"/>
      <c r="J281" s="125"/>
      <c r="K281" s="136"/>
      <c r="L281" s="125"/>
      <c r="M281" s="125" t="str">
        <f>IFERROR(_xlfn.XLOOKUP($A281,Input_Raw!$A:$A,Input_Raw!CG:CG),"")</f>
        <v/>
      </c>
      <c r="N281" s="125" t="str">
        <f>IFERROR(_xlfn.XLOOKUP($A281,Input_Raw!$A:$A,Input_Raw!CH:CH),"")</f>
        <v/>
      </c>
      <c r="O281" s="137" t="str">
        <f t="shared" si="27"/>
        <v/>
      </c>
      <c r="P281" s="137" t="str">
        <f>IFERROR(1-SUMIF(WTG_BD!$F:$F,$A281,WTG_BD!$AA:$AA)/($AA281+SUMIF(WTG_BD!$F:$F,$A281,WTG_BD!$AA:$AA)),"")</f>
        <v/>
      </c>
      <c r="Q281" s="138" t="str">
        <f>IFERROR(1-SUMIF(IGA_BD!$F:$F,$A281,IGA_BD!$V:$V)/($AA281+SUMIF(IGA_BD!$F:$F,$A281,IGA_BD!$V:$V)),"")</f>
        <v/>
      </c>
      <c r="R281" s="143" t="str">
        <f>IFERROR(1-SUMIF(Grid_BD!$F:$F,$A281,Grid_BD!$X:$X)/($AA281+SUMIF(Grid_BD!$F:$F,$A281,Grid_BD!$X:$X)),"")</f>
        <v/>
      </c>
      <c r="S281" s="121"/>
      <c r="T281" s="138"/>
      <c r="U281" s="139"/>
      <c r="V281" s="121"/>
      <c r="W281" s="140" t="str">
        <f>IFERROR(Table13[[#This Row],[Mtr_Net_Exp (KWh)]]/(24*AR281*1000),"")</f>
        <v/>
      </c>
      <c r="X281" s="121" t="str">
        <f>IFERROR(_xlfn.XLOOKUP($A281,Input_Raw!$A:$A,Input_Raw!$CF:$CF),"")</f>
        <v/>
      </c>
      <c r="Y281" s="121" t="str">
        <f>IFERROR(_xlfn.XLOOKUP($A281,Input_Raw!$A:$A,Input_Raw!$CZ:$CZ),"")</f>
        <v/>
      </c>
      <c r="Z281" s="121" t="str">
        <f>IFERROR(_xlfn.XLOOKUP($A281,Input_Raw!$A:$A,Input_Raw!$DA:$DA),"")</f>
        <v/>
      </c>
      <c r="AA281" s="123" t="str">
        <f t="shared" si="28"/>
        <v/>
      </c>
      <c r="AB281" s="121" t="str">
        <f>IFERROR(_xlfn.XLOOKUP($A281,Input_Raw!$A:$A,Input_Raw!$DG:$DG),"")</f>
        <v/>
      </c>
      <c r="AC281" s="141">
        <f>IFERROR(_xlfn.XLOOKUP($D281,'Modelling New'!$D:$D,'Modelling New'!$J:$J),"")</f>
        <v>3.8</v>
      </c>
      <c r="AD281" s="123">
        <f>IFERROR(_xlfn.XLOOKUP($D281,'Modelling New'!$D:$D,'Modelling New'!$T:$T)*1000,"")</f>
        <v>128093.39599615177</v>
      </c>
      <c r="AE281" s="140"/>
      <c r="AF281" s="140">
        <f>IFERROR(_xlfn.XLOOKUP($D281,'Modelling New'!$D:$D,'Modelling New'!$W:$W),"")</f>
        <v>6.8425959399653721E-2</v>
      </c>
      <c r="AG281" s="140">
        <f>IFERROR(_xlfn.XLOOKUP($D281,'Modelling New'!$D:$D,'Modelling New'!$AE:$AE),"")</f>
        <v>0.96029999999999993</v>
      </c>
      <c r="AH281" s="140">
        <f>IFERROR(_xlfn.XLOOKUP($D281,'Modelling New'!$D:$D,'Modelling New'!$AF:$AF),"")</f>
        <v>0.995</v>
      </c>
      <c r="AI281" s="121" t="str">
        <f>IFERROR(_xlfn.XLOOKUP($A281,Input_Raw!$A:$A,Input_Raw!$DE:$DE),"")</f>
        <v/>
      </c>
      <c r="AJ281" s="121"/>
      <c r="AK281" s="121"/>
      <c r="AL281" s="121"/>
      <c r="AM281" s="121"/>
      <c r="AN281" s="142" t="str">
        <f>IFERROR(_xlfn.XLOOKUP($A281,Input_Raw!$A:$A,Input_Raw!$DB:$DB),"")</f>
        <v/>
      </c>
      <c r="AO281" s="140" t="str">
        <f>IFERROR((_xlfn.XLOOKUP($A281,'WTG Reactive Power'!$A:$A,'WTG Reactive Power'!$AR:$AR))/X281/1000,"")</f>
        <v/>
      </c>
      <c r="AP281" s="140">
        <f>IFERROR(_xlfn.XLOOKUP($D281,'Modelling New'!$D:$D,'Modelling New'!$AK:$AK),"")</f>
        <v>0.05</v>
      </c>
      <c r="AQ281" s="140">
        <f>IFERROR(_xlfn.XLOOKUP($D281,'Modelling New'!$D:$D,'Modelling New'!$AL:$AL),"")</f>
        <v>0.05</v>
      </c>
      <c r="AR281">
        <f>IFERROR(_xlfn.XLOOKUP($D281,'Modelling New'!$D:$D,'Modelling New'!$N:$N),"")</f>
        <v>78</v>
      </c>
    </row>
    <row r="282" spans="1:44">
      <c r="A282" s="134">
        <f t="shared" si="22"/>
        <v>46025</v>
      </c>
      <c r="B282" s="123">
        <f>YEAR(Table13[[#This Row],[Date]])+IF(MONTH(Table13[[#This Row],[Date]])&gt;=4,1,0)</f>
        <v>2026</v>
      </c>
      <c r="C282" s="121">
        <f>YEAR(Table13[[#This Row],[Date]])</f>
        <v>2026</v>
      </c>
      <c r="D282" s="135">
        <f>Table13[[#This Row],[Date]]-DAY(Table13[[#This Row],[Date]])+1</f>
        <v>46023</v>
      </c>
      <c r="E282" s="121">
        <f t="shared" si="26"/>
        <v>31</v>
      </c>
      <c r="F282" s="124"/>
      <c r="G282" s="125"/>
      <c r="H282" s="125"/>
      <c r="I282" s="125"/>
      <c r="J282" s="125"/>
      <c r="K282" s="136"/>
      <c r="L282" s="125"/>
      <c r="M282" s="125" t="str">
        <f>IFERROR(_xlfn.XLOOKUP($A282,Input_Raw!$A:$A,Input_Raw!CG:CG),"")</f>
        <v/>
      </c>
      <c r="N282" s="125" t="str">
        <f>IFERROR(_xlfn.XLOOKUP($A282,Input_Raw!$A:$A,Input_Raw!CH:CH),"")</f>
        <v/>
      </c>
      <c r="O282" s="137" t="str">
        <f t="shared" si="27"/>
        <v/>
      </c>
      <c r="P282" s="137" t="str">
        <f>IFERROR(1-SUMIF(WTG_BD!$F:$F,$A282,WTG_BD!$AA:$AA)/($AA282+SUMIF(WTG_BD!$F:$F,$A282,WTG_BD!$AA:$AA)),"")</f>
        <v/>
      </c>
      <c r="Q282" s="138" t="str">
        <f>IFERROR(1-SUMIF(IGA_BD!$F:$F,$A282,IGA_BD!$V:$V)/($AA282+SUMIF(IGA_BD!$F:$F,$A282,IGA_BD!$V:$V)),"")</f>
        <v/>
      </c>
      <c r="R282" s="143" t="str">
        <f>IFERROR(1-SUMIF(Grid_BD!$F:$F,$A282,Grid_BD!$X:$X)/($AA282+SUMIF(Grid_BD!$F:$F,$A282,Grid_BD!$X:$X)),"")</f>
        <v/>
      </c>
      <c r="S282" s="121"/>
      <c r="T282" s="138"/>
      <c r="U282" s="139"/>
      <c r="V282" s="121"/>
      <c r="W282" s="140" t="str">
        <f>IFERROR(Table13[[#This Row],[Mtr_Net_Exp (KWh)]]/(24*AR282*1000),"")</f>
        <v/>
      </c>
      <c r="X282" s="121" t="str">
        <f>IFERROR(_xlfn.XLOOKUP($A282,Input_Raw!$A:$A,Input_Raw!$CF:$CF),"")</f>
        <v/>
      </c>
      <c r="Y282" s="121" t="str">
        <f>IFERROR(_xlfn.XLOOKUP($A282,Input_Raw!$A:$A,Input_Raw!$CZ:$CZ),"")</f>
        <v/>
      </c>
      <c r="Z282" s="121" t="str">
        <f>IFERROR(_xlfn.XLOOKUP($A282,Input_Raw!$A:$A,Input_Raw!$DA:$DA),"")</f>
        <v/>
      </c>
      <c r="AA282" s="123" t="str">
        <f t="shared" si="28"/>
        <v/>
      </c>
      <c r="AB282" s="121" t="str">
        <f>IFERROR(_xlfn.XLOOKUP($A282,Input_Raw!$A:$A,Input_Raw!$DG:$DG),"")</f>
        <v/>
      </c>
      <c r="AC282" s="141">
        <f>IFERROR(_xlfn.XLOOKUP($D282,'Modelling New'!$D:$D,'Modelling New'!$J:$J),"")</f>
        <v>3.8</v>
      </c>
      <c r="AD282" s="123">
        <f>IFERROR(_xlfn.XLOOKUP($D282,'Modelling New'!$D:$D,'Modelling New'!$T:$T)*1000,"")</f>
        <v>128093.39599615177</v>
      </c>
      <c r="AE282" s="140"/>
      <c r="AF282" s="140">
        <f>IFERROR(_xlfn.XLOOKUP($D282,'Modelling New'!$D:$D,'Modelling New'!$W:$W),"")</f>
        <v>6.8425959399653721E-2</v>
      </c>
      <c r="AG282" s="140">
        <f>IFERROR(_xlfn.XLOOKUP($D282,'Modelling New'!$D:$D,'Modelling New'!$AE:$AE),"")</f>
        <v>0.96029999999999993</v>
      </c>
      <c r="AH282" s="140">
        <f>IFERROR(_xlfn.XLOOKUP($D282,'Modelling New'!$D:$D,'Modelling New'!$AF:$AF),"")</f>
        <v>0.995</v>
      </c>
      <c r="AI282" s="121" t="str">
        <f>IFERROR(_xlfn.XLOOKUP($A282,Input_Raw!$A:$A,Input_Raw!$DE:$DE),"")</f>
        <v/>
      </c>
      <c r="AJ282" s="121"/>
      <c r="AK282" s="121"/>
      <c r="AL282" s="121"/>
      <c r="AM282" s="121"/>
      <c r="AN282" s="142" t="str">
        <f>IFERROR(_xlfn.XLOOKUP($A282,Input_Raw!$A:$A,Input_Raw!$DB:$DB),"")</f>
        <v/>
      </c>
      <c r="AO282" s="140" t="str">
        <f>IFERROR((_xlfn.XLOOKUP($A282,'WTG Reactive Power'!$A:$A,'WTG Reactive Power'!$AR:$AR))/X282/1000,"")</f>
        <v/>
      </c>
      <c r="AP282" s="140">
        <f>IFERROR(_xlfn.XLOOKUP($D282,'Modelling New'!$D:$D,'Modelling New'!$AK:$AK),"")</f>
        <v>0.05</v>
      </c>
      <c r="AQ282" s="140">
        <f>IFERROR(_xlfn.XLOOKUP($D282,'Modelling New'!$D:$D,'Modelling New'!$AL:$AL),"")</f>
        <v>0.05</v>
      </c>
      <c r="AR282">
        <f>IFERROR(_xlfn.XLOOKUP($D282,'Modelling New'!$D:$D,'Modelling New'!$N:$N),"")</f>
        <v>78</v>
      </c>
    </row>
    <row r="283" spans="1:44">
      <c r="A283" s="134">
        <f t="shared" si="22"/>
        <v>46026</v>
      </c>
      <c r="B283" s="123">
        <f>YEAR(Table13[[#This Row],[Date]])+IF(MONTH(Table13[[#This Row],[Date]])&gt;=4,1,0)</f>
        <v>2026</v>
      </c>
      <c r="C283" s="121">
        <f>YEAR(Table13[[#This Row],[Date]])</f>
        <v>2026</v>
      </c>
      <c r="D283" s="135">
        <f>Table13[[#This Row],[Date]]-DAY(Table13[[#This Row],[Date]])+1</f>
        <v>46023</v>
      </c>
      <c r="E283" s="121">
        <f t="shared" si="26"/>
        <v>31</v>
      </c>
      <c r="F283" s="124"/>
      <c r="G283" s="125"/>
      <c r="H283" s="125"/>
      <c r="I283" s="125"/>
      <c r="J283" s="125"/>
      <c r="K283" s="136"/>
      <c r="L283" s="125"/>
      <c r="M283" s="125" t="str">
        <f>IFERROR(_xlfn.XLOOKUP($A283,Input_Raw!$A:$A,Input_Raw!CG:CG),"")</f>
        <v/>
      </c>
      <c r="N283" s="125" t="str">
        <f>IFERROR(_xlfn.XLOOKUP($A283,Input_Raw!$A:$A,Input_Raw!CH:CH),"")</f>
        <v/>
      </c>
      <c r="O283" s="137" t="str">
        <f t="shared" si="27"/>
        <v/>
      </c>
      <c r="P283" s="137" t="str">
        <f>IFERROR(1-SUMIF(WTG_BD!$F:$F,$A283,WTG_BD!$AA:$AA)/($AA283+SUMIF(WTG_BD!$F:$F,$A283,WTG_BD!$AA:$AA)),"")</f>
        <v/>
      </c>
      <c r="Q283" s="138" t="str">
        <f>IFERROR(1-SUMIF(IGA_BD!$F:$F,$A283,IGA_BD!$V:$V)/($AA283+SUMIF(IGA_BD!$F:$F,$A283,IGA_BD!$V:$V)),"")</f>
        <v/>
      </c>
      <c r="R283" s="143" t="str">
        <f>IFERROR(1-SUMIF(Grid_BD!$F:$F,$A283,Grid_BD!$X:$X)/($AA283+SUMIF(Grid_BD!$F:$F,$A283,Grid_BD!$X:$X)),"")</f>
        <v/>
      </c>
      <c r="S283" s="121"/>
      <c r="T283" s="138"/>
      <c r="U283" s="139"/>
      <c r="V283" s="121"/>
      <c r="W283" s="140" t="str">
        <f>IFERROR(Table13[[#This Row],[Mtr_Net_Exp (KWh)]]/(24*AR283*1000),"")</f>
        <v/>
      </c>
      <c r="X283" s="121" t="str">
        <f>IFERROR(_xlfn.XLOOKUP($A283,Input_Raw!$A:$A,Input_Raw!$CF:$CF),"")</f>
        <v/>
      </c>
      <c r="Y283" s="121" t="str">
        <f>IFERROR(_xlfn.XLOOKUP($A283,Input_Raw!$A:$A,Input_Raw!$CZ:$CZ),"")</f>
        <v/>
      </c>
      <c r="Z283" s="121" t="str">
        <f>IFERROR(_xlfn.XLOOKUP($A283,Input_Raw!$A:$A,Input_Raw!$DA:$DA),"")</f>
        <v/>
      </c>
      <c r="AA283" s="123" t="str">
        <f t="shared" si="28"/>
        <v/>
      </c>
      <c r="AB283" s="121" t="str">
        <f>IFERROR(_xlfn.XLOOKUP($A283,Input_Raw!$A:$A,Input_Raw!$DG:$DG),"")</f>
        <v/>
      </c>
      <c r="AC283" s="141">
        <f>IFERROR(_xlfn.XLOOKUP($D283,'Modelling New'!$D:$D,'Modelling New'!$J:$J),"")</f>
        <v>3.8</v>
      </c>
      <c r="AD283" s="123">
        <f>IFERROR(_xlfn.XLOOKUP($D283,'Modelling New'!$D:$D,'Modelling New'!$T:$T)*1000,"")</f>
        <v>128093.39599615177</v>
      </c>
      <c r="AE283" s="140"/>
      <c r="AF283" s="140">
        <f>IFERROR(_xlfn.XLOOKUP($D283,'Modelling New'!$D:$D,'Modelling New'!$W:$W),"")</f>
        <v>6.8425959399653721E-2</v>
      </c>
      <c r="AG283" s="140">
        <f>IFERROR(_xlfn.XLOOKUP($D283,'Modelling New'!$D:$D,'Modelling New'!$AE:$AE),"")</f>
        <v>0.96029999999999993</v>
      </c>
      <c r="AH283" s="140">
        <f>IFERROR(_xlfn.XLOOKUP($D283,'Modelling New'!$D:$D,'Modelling New'!$AF:$AF),"")</f>
        <v>0.995</v>
      </c>
      <c r="AI283" s="121" t="str">
        <f>IFERROR(_xlfn.XLOOKUP($A283,Input_Raw!$A:$A,Input_Raw!$DE:$DE),"")</f>
        <v/>
      </c>
      <c r="AJ283" s="121"/>
      <c r="AK283" s="121"/>
      <c r="AL283" s="121"/>
      <c r="AM283" s="121"/>
      <c r="AN283" s="142" t="str">
        <f>IFERROR(_xlfn.XLOOKUP($A283,Input_Raw!$A:$A,Input_Raw!$DB:$DB),"")</f>
        <v/>
      </c>
      <c r="AO283" s="140" t="str">
        <f>IFERROR((_xlfn.XLOOKUP($A283,'WTG Reactive Power'!$A:$A,'WTG Reactive Power'!$AR:$AR))/X283/1000,"")</f>
        <v/>
      </c>
      <c r="AP283" s="140">
        <f>IFERROR(_xlfn.XLOOKUP($D283,'Modelling New'!$D:$D,'Modelling New'!$AK:$AK),"")</f>
        <v>0.05</v>
      </c>
      <c r="AQ283" s="140">
        <f>IFERROR(_xlfn.XLOOKUP($D283,'Modelling New'!$D:$D,'Modelling New'!$AL:$AL),"")</f>
        <v>0.05</v>
      </c>
      <c r="AR283">
        <f>IFERROR(_xlfn.XLOOKUP($D283,'Modelling New'!$D:$D,'Modelling New'!$N:$N),"")</f>
        <v>78</v>
      </c>
    </row>
    <row r="284" spans="1:44">
      <c r="A284" s="134">
        <f t="shared" si="22"/>
        <v>46027</v>
      </c>
      <c r="B284" s="123">
        <f>YEAR(Table13[[#This Row],[Date]])+IF(MONTH(Table13[[#This Row],[Date]])&gt;=4,1,0)</f>
        <v>2026</v>
      </c>
      <c r="C284" s="121">
        <f>YEAR(Table13[[#This Row],[Date]])</f>
        <v>2026</v>
      </c>
      <c r="D284" s="135">
        <f>Table13[[#This Row],[Date]]-DAY(Table13[[#This Row],[Date]])+1</f>
        <v>46023</v>
      </c>
      <c r="E284" s="121">
        <f t="shared" si="26"/>
        <v>31</v>
      </c>
      <c r="F284" s="124"/>
      <c r="G284" s="125"/>
      <c r="H284" s="125"/>
      <c r="I284" s="125"/>
      <c r="J284" s="125"/>
      <c r="K284" s="136"/>
      <c r="L284" s="125"/>
      <c r="M284" s="125" t="str">
        <f>IFERROR(_xlfn.XLOOKUP($A284,Input_Raw!$A:$A,Input_Raw!CG:CG),"")</f>
        <v/>
      </c>
      <c r="N284" s="125" t="str">
        <f>IFERROR(_xlfn.XLOOKUP($A284,Input_Raw!$A:$A,Input_Raw!CH:CH),"")</f>
        <v/>
      </c>
      <c r="O284" s="137" t="str">
        <f t="shared" si="27"/>
        <v/>
      </c>
      <c r="P284" s="137" t="str">
        <f>IFERROR(1-SUMIF(WTG_BD!$F:$F,$A284,WTG_BD!$AA:$AA)/($AA284+SUMIF(WTG_BD!$F:$F,$A284,WTG_BD!$AA:$AA)),"")</f>
        <v/>
      </c>
      <c r="Q284" s="138" t="str">
        <f>IFERROR(1-SUMIF(IGA_BD!$F:$F,$A284,IGA_BD!$V:$V)/($AA284+SUMIF(IGA_BD!$F:$F,$A284,IGA_BD!$V:$V)),"")</f>
        <v/>
      </c>
      <c r="R284" s="143" t="str">
        <f>IFERROR(1-SUMIF(Grid_BD!$F:$F,$A284,Grid_BD!$X:$X)/($AA284+SUMIF(Grid_BD!$F:$F,$A284,Grid_BD!$X:$X)),"")</f>
        <v/>
      </c>
      <c r="S284" s="121"/>
      <c r="T284" s="138"/>
      <c r="U284" s="139"/>
      <c r="V284" s="121"/>
      <c r="W284" s="140" t="str">
        <f>IFERROR(Table13[[#This Row],[Mtr_Net_Exp (KWh)]]/(24*AR284*1000),"")</f>
        <v/>
      </c>
      <c r="X284" s="121" t="str">
        <f>IFERROR(_xlfn.XLOOKUP($A284,Input_Raw!$A:$A,Input_Raw!$CF:$CF),"")</f>
        <v/>
      </c>
      <c r="Y284" s="121" t="str">
        <f>IFERROR(_xlfn.XLOOKUP($A284,Input_Raw!$A:$A,Input_Raw!$CZ:$CZ),"")</f>
        <v/>
      </c>
      <c r="Z284" s="121" t="str">
        <f>IFERROR(_xlfn.XLOOKUP($A284,Input_Raw!$A:$A,Input_Raw!$DA:$DA),"")</f>
        <v/>
      </c>
      <c r="AA284" s="123" t="str">
        <f t="shared" si="28"/>
        <v/>
      </c>
      <c r="AB284" s="121" t="str">
        <f>IFERROR(_xlfn.XLOOKUP($A284,Input_Raw!$A:$A,Input_Raw!$DG:$DG),"")</f>
        <v/>
      </c>
      <c r="AC284" s="141">
        <f>IFERROR(_xlfn.XLOOKUP($D284,'Modelling New'!$D:$D,'Modelling New'!$J:$J),"")</f>
        <v>3.8</v>
      </c>
      <c r="AD284" s="123">
        <f>IFERROR(_xlfn.XLOOKUP($D284,'Modelling New'!$D:$D,'Modelling New'!$T:$T)*1000,"")</f>
        <v>128093.39599615177</v>
      </c>
      <c r="AE284" s="140"/>
      <c r="AF284" s="140">
        <f>IFERROR(_xlfn.XLOOKUP($D284,'Modelling New'!$D:$D,'Modelling New'!$W:$W),"")</f>
        <v>6.8425959399653721E-2</v>
      </c>
      <c r="AG284" s="140">
        <f>IFERROR(_xlfn.XLOOKUP($D284,'Modelling New'!$D:$D,'Modelling New'!$AE:$AE),"")</f>
        <v>0.96029999999999993</v>
      </c>
      <c r="AH284" s="140">
        <f>IFERROR(_xlfn.XLOOKUP($D284,'Modelling New'!$D:$D,'Modelling New'!$AF:$AF),"")</f>
        <v>0.995</v>
      </c>
      <c r="AI284" s="121" t="str">
        <f>IFERROR(_xlfn.XLOOKUP($A284,Input_Raw!$A:$A,Input_Raw!$DE:$DE),"")</f>
        <v/>
      </c>
      <c r="AJ284" s="121"/>
      <c r="AK284" s="121"/>
      <c r="AL284" s="121"/>
      <c r="AM284" s="121"/>
      <c r="AN284" s="142" t="str">
        <f>IFERROR(_xlfn.XLOOKUP($A284,Input_Raw!$A:$A,Input_Raw!$DB:$DB),"")</f>
        <v/>
      </c>
      <c r="AO284" s="140" t="str">
        <f>IFERROR((_xlfn.XLOOKUP($A284,'WTG Reactive Power'!$A:$A,'WTG Reactive Power'!$AR:$AR))/X284/1000,"")</f>
        <v/>
      </c>
      <c r="AP284" s="140">
        <f>IFERROR(_xlfn.XLOOKUP($D284,'Modelling New'!$D:$D,'Modelling New'!$AK:$AK),"")</f>
        <v>0.05</v>
      </c>
      <c r="AQ284" s="140">
        <f>IFERROR(_xlfn.XLOOKUP($D284,'Modelling New'!$D:$D,'Modelling New'!$AL:$AL),"")</f>
        <v>0.05</v>
      </c>
      <c r="AR284">
        <f>IFERROR(_xlfn.XLOOKUP($D284,'Modelling New'!$D:$D,'Modelling New'!$N:$N),"")</f>
        <v>78</v>
      </c>
    </row>
    <row r="285" spans="1:44">
      <c r="A285" s="134">
        <f t="shared" si="22"/>
        <v>46028</v>
      </c>
      <c r="B285" s="123">
        <f>YEAR(Table13[[#This Row],[Date]])+IF(MONTH(Table13[[#This Row],[Date]])&gt;=4,1,0)</f>
        <v>2026</v>
      </c>
      <c r="C285" s="121">
        <f>YEAR(Table13[[#This Row],[Date]])</f>
        <v>2026</v>
      </c>
      <c r="D285" s="135">
        <f>Table13[[#This Row],[Date]]-DAY(Table13[[#This Row],[Date]])+1</f>
        <v>46023</v>
      </c>
      <c r="E285" s="121">
        <f t="shared" si="26"/>
        <v>31</v>
      </c>
      <c r="F285" s="124"/>
      <c r="G285" s="125"/>
      <c r="H285" s="125"/>
      <c r="I285" s="125"/>
      <c r="J285" s="125"/>
      <c r="K285" s="136"/>
      <c r="L285" s="125"/>
      <c r="M285" s="125" t="str">
        <f>IFERROR(_xlfn.XLOOKUP($A285,Input_Raw!$A:$A,Input_Raw!CG:CG),"")</f>
        <v/>
      </c>
      <c r="N285" s="125" t="str">
        <f>IFERROR(_xlfn.XLOOKUP($A285,Input_Raw!$A:$A,Input_Raw!CH:CH),"")</f>
        <v/>
      </c>
      <c r="O285" s="137" t="str">
        <f t="shared" si="27"/>
        <v/>
      </c>
      <c r="P285" s="137" t="str">
        <f>IFERROR(1-SUMIF(WTG_BD!$F:$F,$A285,WTG_BD!$AA:$AA)/($AA285+SUMIF(WTG_BD!$F:$F,$A285,WTG_BD!$AA:$AA)),"")</f>
        <v/>
      </c>
      <c r="Q285" s="138" t="str">
        <f>IFERROR(1-SUMIF(IGA_BD!$F:$F,$A285,IGA_BD!$V:$V)/($AA285+SUMIF(IGA_BD!$F:$F,$A285,IGA_BD!$V:$V)),"")</f>
        <v/>
      </c>
      <c r="R285" s="143" t="str">
        <f>IFERROR(1-SUMIF(Grid_BD!$F:$F,$A285,Grid_BD!$X:$X)/($AA285+SUMIF(Grid_BD!$F:$F,$A285,Grid_BD!$X:$X)),"")</f>
        <v/>
      </c>
      <c r="S285" s="121"/>
      <c r="T285" s="138"/>
      <c r="U285" s="139"/>
      <c r="V285" s="121"/>
      <c r="W285" s="140" t="str">
        <f>IFERROR(Table13[[#This Row],[Mtr_Net_Exp (KWh)]]/(24*AR285*1000),"")</f>
        <v/>
      </c>
      <c r="X285" s="121" t="str">
        <f>IFERROR(_xlfn.XLOOKUP($A285,Input_Raw!$A:$A,Input_Raw!$CF:$CF),"")</f>
        <v/>
      </c>
      <c r="Y285" s="121" t="str">
        <f>IFERROR(_xlfn.XLOOKUP($A285,Input_Raw!$A:$A,Input_Raw!$CZ:$CZ),"")</f>
        <v/>
      </c>
      <c r="Z285" s="121" t="str">
        <f>IFERROR(_xlfn.XLOOKUP($A285,Input_Raw!$A:$A,Input_Raw!$DA:$DA),"")</f>
        <v/>
      </c>
      <c r="AA285" s="123" t="str">
        <f t="shared" si="28"/>
        <v/>
      </c>
      <c r="AB285" s="121" t="str">
        <f>IFERROR(_xlfn.XLOOKUP($A285,Input_Raw!$A:$A,Input_Raw!$DG:$DG),"")</f>
        <v/>
      </c>
      <c r="AC285" s="141">
        <f>IFERROR(_xlfn.XLOOKUP($D285,'Modelling New'!$D:$D,'Modelling New'!$J:$J),"")</f>
        <v>3.8</v>
      </c>
      <c r="AD285" s="123">
        <f>IFERROR(_xlfn.XLOOKUP($D285,'Modelling New'!$D:$D,'Modelling New'!$T:$T)*1000,"")</f>
        <v>128093.39599615177</v>
      </c>
      <c r="AE285" s="140"/>
      <c r="AF285" s="140">
        <f>IFERROR(_xlfn.XLOOKUP($D285,'Modelling New'!$D:$D,'Modelling New'!$W:$W),"")</f>
        <v>6.8425959399653721E-2</v>
      </c>
      <c r="AG285" s="140">
        <f>IFERROR(_xlfn.XLOOKUP($D285,'Modelling New'!$D:$D,'Modelling New'!$AE:$AE),"")</f>
        <v>0.96029999999999993</v>
      </c>
      <c r="AH285" s="140">
        <f>IFERROR(_xlfn.XLOOKUP($D285,'Modelling New'!$D:$D,'Modelling New'!$AF:$AF),"")</f>
        <v>0.995</v>
      </c>
      <c r="AI285" s="121" t="str">
        <f>IFERROR(_xlfn.XLOOKUP($A285,Input_Raw!$A:$A,Input_Raw!$DE:$DE),"")</f>
        <v/>
      </c>
      <c r="AJ285" s="121"/>
      <c r="AK285" s="121"/>
      <c r="AL285" s="121"/>
      <c r="AM285" s="121"/>
      <c r="AN285" s="142" t="str">
        <f>IFERROR(_xlfn.XLOOKUP($A285,Input_Raw!$A:$A,Input_Raw!$DB:$DB),"")</f>
        <v/>
      </c>
      <c r="AO285" s="140" t="str">
        <f>IFERROR((_xlfn.XLOOKUP($A285,'WTG Reactive Power'!$A:$A,'WTG Reactive Power'!$AR:$AR))/X285/1000,"")</f>
        <v/>
      </c>
      <c r="AP285" s="140">
        <f>IFERROR(_xlfn.XLOOKUP($D285,'Modelling New'!$D:$D,'Modelling New'!$AK:$AK),"")</f>
        <v>0.05</v>
      </c>
      <c r="AQ285" s="140">
        <f>IFERROR(_xlfn.XLOOKUP($D285,'Modelling New'!$D:$D,'Modelling New'!$AL:$AL),"")</f>
        <v>0.05</v>
      </c>
      <c r="AR285">
        <f>IFERROR(_xlfn.XLOOKUP($D285,'Modelling New'!$D:$D,'Modelling New'!$N:$N),"")</f>
        <v>78</v>
      </c>
    </row>
    <row r="286" spans="1:44">
      <c r="A286" s="134">
        <f t="shared" si="22"/>
        <v>46029</v>
      </c>
      <c r="B286" s="123">
        <f>YEAR(Table13[[#This Row],[Date]])+IF(MONTH(Table13[[#This Row],[Date]])&gt;=4,1,0)</f>
        <v>2026</v>
      </c>
      <c r="C286" s="121">
        <f>YEAR(Table13[[#This Row],[Date]])</f>
        <v>2026</v>
      </c>
      <c r="D286" s="135">
        <f>Table13[[#This Row],[Date]]-DAY(Table13[[#This Row],[Date]])+1</f>
        <v>46023</v>
      </c>
      <c r="E286" s="121">
        <f t="shared" si="26"/>
        <v>31</v>
      </c>
      <c r="F286" s="124"/>
      <c r="G286" s="125"/>
      <c r="H286" s="125"/>
      <c r="I286" s="125"/>
      <c r="J286" s="125"/>
      <c r="K286" s="136"/>
      <c r="L286" s="125"/>
      <c r="M286" s="125" t="str">
        <f>IFERROR(_xlfn.XLOOKUP($A286,Input_Raw!$A:$A,Input_Raw!CG:CG),"")</f>
        <v/>
      </c>
      <c r="N286" s="125" t="str">
        <f>IFERROR(_xlfn.XLOOKUP($A286,Input_Raw!$A:$A,Input_Raw!CH:CH),"")</f>
        <v/>
      </c>
      <c r="O286" s="137" t="str">
        <f t="shared" si="27"/>
        <v/>
      </c>
      <c r="P286" s="137" t="str">
        <f>IFERROR(1-SUMIF(WTG_BD!$F:$F,$A286,WTG_BD!$AA:$AA)/($AA286+SUMIF(WTG_BD!$F:$F,$A286,WTG_BD!$AA:$AA)),"")</f>
        <v/>
      </c>
      <c r="Q286" s="138" t="str">
        <f>IFERROR(1-SUMIF(IGA_BD!$F:$F,$A286,IGA_BD!$V:$V)/($AA286+SUMIF(IGA_BD!$F:$F,$A286,IGA_BD!$V:$V)),"")</f>
        <v/>
      </c>
      <c r="R286" s="143" t="str">
        <f>IFERROR(1-SUMIF(Grid_BD!$F:$F,$A286,Grid_BD!$X:$X)/($AA286+SUMIF(Grid_BD!$F:$F,$A286,Grid_BD!$X:$X)),"")</f>
        <v/>
      </c>
      <c r="S286" s="121"/>
      <c r="T286" s="138"/>
      <c r="U286" s="139"/>
      <c r="V286" s="121"/>
      <c r="W286" s="140" t="str">
        <f>IFERROR(Table13[[#This Row],[Mtr_Net_Exp (KWh)]]/(24*AR286*1000),"")</f>
        <v/>
      </c>
      <c r="X286" s="121" t="str">
        <f>IFERROR(_xlfn.XLOOKUP($A286,Input_Raw!$A:$A,Input_Raw!$CF:$CF),"")</f>
        <v/>
      </c>
      <c r="Y286" s="121" t="str">
        <f>IFERROR(_xlfn.XLOOKUP($A286,Input_Raw!$A:$A,Input_Raw!$CZ:$CZ),"")</f>
        <v/>
      </c>
      <c r="Z286" s="121" t="str">
        <f>IFERROR(_xlfn.XLOOKUP($A286,Input_Raw!$A:$A,Input_Raw!$DA:$DA),"")</f>
        <v/>
      </c>
      <c r="AA286" s="123" t="str">
        <f t="shared" si="28"/>
        <v/>
      </c>
      <c r="AB286" s="121" t="str">
        <f>IFERROR(_xlfn.XLOOKUP($A286,Input_Raw!$A:$A,Input_Raw!$DG:$DG),"")</f>
        <v/>
      </c>
      <c r="AC286" s="141">
        <f>IFERROR(_xlfn.XLOOKUP($D286,'Modelling New'!$D:$D,'Modelling New'!$J:$J),"")</f>
        <v>3.8</v>
      </c>
      <c r="AD286" s="123">
        <f>IFERROR(_xlfn.XLOOKUP($D286,'Modelling New'!$D:$D,'Modelling New'!$T:$T)*1000,"")</f>
        <v>128093.39599615177</v>
      </c>
      <c r="AE286" s="140"/>
      <c r="AF286" s="140">
        <f>IFERROR(_xlfn.XLOOKUP($D286,'Modelling New'!$D:$D,'Modelling New'!$W:$W),"")</f>
        <v>6.8425959399653721E-2</v>
      </c>
      <c r="AG286" s="140">
        <f>IFERROR(_xlfn.XLOOKUP($D286,'Modelling New'!$D:$D,'Modelling New'!$AE:$AE),"")</f>
        <v>0.96029999999999993</v>
      </c>
      <c r="AH286" s="140">
        <f>IFERROR(_xlfn.XLOOKUP($D286,'Modelling New'!$D:$D,'Modelling New'!$AF:$AF),"")</f>
        <v>0.995</v>
      </c>
      <c r="AI286" s="121" t="str">
        <f>IFERROR(_xlfn.XLOOKUP($A286,Input_Raw!$A:$A,Input_Raw!$DE:$DE),"")</f>
        <v/>
      </c>
      <c r="AJ286" s="121"/>
      <c r="AK286" s="121"/>
      <c r="AL286" s="121"/>
      <c r="AM286" s="121"/>
      <c r="AN286" s="142" t="str">
        <f>IFERROR(_xlfn.XLOOKUP($A286,Input_Raw!$A:$A,Input_Raw!$DB:$DB),"")</f>
        <v/>
      </c>
      <c r="AO286" s="140" t="str">
        <f>IFERROR((_xlfn.XLOOKUP($A286,'WTG Reactive Power'!$A:$A,'WTG Reactive Power'!$AR:$AR))/X286/1000,"")</f>
        <v/>
      </c>
      <c r="AP286" s="140">
        <f>IFERROR(_xlfn.XLOOKUP($D286,'Modelling New'!$D:$D,'Modelling New'!$AK:$AK),"")</f>
        <v>0.05</v>
      </c>
      <c r="AQ286" s="140">
        <f>IFERROR(_xlfn.XLOOKUP($D286,'Modelling New'!$D:$D,'Modelling New'!$AL:$AL),"")</f>
        <v>0.05</v>
      </c>
      <c r="AR286">
        <f>IFERROR(_xlfn.XLOOKUP($D286,'Modelling New'!$D:$D,'Modelling New'!$N:$N),"")</f>
        <v>78</v>
      </c>
    </row>
    <row r="287" spans="1:44">
      <c r="A287" s="134">
        <f t="shared" si="22"/>
        <v>46030</v>
      </c>
      <c r="B287" s="123">
        <f>YEAR(Table13[[#This Row],[Date]])+IF(MONTH(Table13[[#This Row],[Date]])&gt;=4,1,0)</f>
        <v>2026</v>
      </c>
      <c r="C287" s="121">
        <f>YEAR(Table13[[#This Row],[Date]])</f>
        <v>2026</v>
      </c>
      <c r="D287" s="135">
        <f>Table13[[#This Row],[Date]]-DAY(Table13[[#This Row],[Date]])+1</f>
        <v>46023</v>
      </c>
      <c r="E287" s="121">
        <f t="shared" si="26"/>
        <v>31</v>
      </c>
      <c r="F287" s="124"/>
      <c r="G287" s="125"/>
      <c r="H287" s="125"/>
      <c r="I287" s="125"/>
      <c r="J287" s="125"/>
      <c r="K287" s="136"/>
      <c r="L287" s="125"/>
      <c r="M287" s="125" t="str">
        <f>IFERROR(_xlfn.XLOOKUP($A287,Input_Raw!$A:$A,Input_Raw!CG:CG),"")</f>
        <v/>
      </c>
      <c r="N287" s="125" t="str">
        <f>IFERROR(_xlfn.XLOOKUP($A287,Input_Raw!$A:$A,Input_Raw!CH:CH),"")</f>
        <v/>
      </c>
      <c r="O287" s="137" t="str">
        <f t="shared" si="27"/>
        <v/>
      </c>
      <c r="P287" s="137" t="str">
        <f>IFERROR(1-SUMIF(WTG_BD!$F:$F,$A287,WTG_BD!$AA:$AA)/($AA287+SUMIF(WTG_BD!$F:$F,$A287,WTG_BD!$AA:$AA)),"")</f>
        <v/>
      </c>
      <c r="Q287" s="138" t="str">
        <f>IFERROR(1-SUMIF(IGA_BD!$F:$F,$A287,IGA_BD!$V:$V)/($AA287+SUMIF(IGA_BD!$F:$F,$A287,IGA_BD!$V:$V)),"")</f>
        <v/>
      </c>
      <c r="R287" s="143" t="str">
        <f>IFERROR(1-SUMIF(Grid_BD!$F:$F,$A287,Grid_BD!$X:$X)/($AA287+SUMIF(Grid_BD!$F:$F,$A287,Grid_BD!$X:$X)),"")</f>
        <v/>
      </c>
      <c r="S287" s="121"/>
      <c r="T287" s="138"/>
      <c r="U287" s="139"/>
      <c r="V287" s="121"/>
      <c r="W287" s="140" t="str">
        <f>IFERROR(Table13[[#This Row],[Mtr_Net_Exp (KWh)]]/(24*AR287*1000),"")</f>
        <v/>
      </c>
      <c r="X287" s="121" t="str">
        <f>IFERROR(_xlfn.XLOOKUP($A287,Input_Raw!$A:$A,Input_Raw!$CF:$CF),"")</f>
        <v/>
      </c>
      <c r="Y287" s="121" t="str">
        <f>IFERROR(_xlfn.XLOOKUP($A287,Input_Raw!$A:$A,Input_Raw!$CZ:$CZ),"")</f>
        <v/>
      </c>
      <c r="Z287" s="121" t="str">
        <f>IFERROR(_xlfn.XLOOKUP($A287,Input_Raw!$A:$A,Input_Raw!$DA:$DA),"")</f>
        <v/>
      </c>
      <c r="AA287" s="123" t="str">
        <f t="shared" si="28"/>
        <v/>
      </c>
      <c r="AB287" s="121" t="str">
        <f>IFERROR(_xlfn.XLOOKUP($A287,Input_Raw!$A:$A,Input_Raw!$DG:$DG),"")</f>
        <v/>
      </c>
      <c r="AC287" s="141">
        <f>IFERROR(_xlfn.XLOOKUP($D287,'Modelling New'!$D:$D,'Modelling New'!$J:$J),"")</f>
        <v>3.8</v>
      </c>
      <c r="AD287" s="123">
        <f>IFERROR(_xlfn.XLOOKUP($D287,'Modelling New'!$D:$D,'Modelling New'!$T:$T)*1000,"")</f>
        <v>128093.39599615177</v>
      </c>
      <c r="AE287" s="140"/>
      <c r="AF287" s="140">
        <f>IFERROR(_xlfn.XLOOKUP($D287,'Modelling New'!$D:$D,'Modelling New'!$W:$W),"")</f>
        <v>6.8425959399653721E-2</v>
      </c>
      <c r="AG287" s="140">
        <f>IFERROR(_xlfn.XLOOKUP($D287,'Modelling New'!$D:$D,'Modelling New'!$AE:$AE),"")</f>
        <v>0.96029999999999993</v>
      </c>
      <c r="AH287" s="140">
        <f>IFERROR(_xlfn.XLOOKUP($D287,'Modelling New'!$D:$D,'Modelling New'!$AF:$AF),"")</f>
        <v>0.995</v>
      </c>
      <c r="AI287" s="121" t="str">
        <f>IFERROR(_xlfn.XLOOKUP($A287,Input_Raw!$A:$A,Input_Raw!$DE:$DE),"")</f>
        <v/>
      </c>
      <c r="AJ287" s="121"/>
      <c r="AK287" s="121"/>
      <c r="AL287" s="121"/>
      <c r="AM287" s="121"/>
      <c r="AN287" s="142" t="str">
        <f>IFERROR(_xlfn.XLOOKUP($A287,Input_Raw!$A:$A,Input_Raw!$DB:$DB),"")</f>
        <v/>
      </c>
      <c r="AO287" s="140" t="str">
        <f>IFERROR((_xlfn.XLOOKUP($A287,'WTG Reactive Power'!$A:$A,'WTG Reactive Power'!$AR:$AR))/X287/1000,"")</f>
        <v/>
      </c>
      <c r="AP287" s="140">
        <f>IFERROR(_xlfn.XLOOKUP($D287,'Modelling New'!$D:$D,'Modelling New'!$AK:$AK),"")</f>
        <v>0.05</v>
      </c>
      <c r="AQ287" s="140">
        <f>IFERROR(_xlfn.XLOOKUP($D287,'Modelling New'!$D:$D,'Modelling New'!$AL:$AL),"")</f>
        <v>0.05</v>
      </c>
      <c r="AR287">
        <f>IFERROR(_xlfn.XLOOKUP($D287,'Modelling New'!$D:$D,'Modelling New'!$N:$N),"")</f>
        <v>78</v>
      </c>
    </row>
    <row r="288" spans="1:44">
      <c r="A288" s="134">
        <f t="shared" si="22"/>
        <v>46031</v>
      </c>
      <c r="B288" s="123">
        <f>YEAR(Table13[[#This Row],[Date]])+IF(MONTH(Table13[[#This Row],[Date]])&gt;=4,1,0)</f>
        <v>2026</v>
      </c>
      <c r="C288" s="121">
        <f>YEAR(Table13[[#This Row],[Date]])</f>
        <v>2026</v>
      </c>
      <c r="D288" s="135">
        <f>Table13[[#This Row],[Date]]-DAY(Table13[[#This Row],[Date]])+1</f>
        <v>46023</v>
      </c>
      <c r="E288" s="121">
        <f t="shared" si="26"/>
        <v>31</v>
      </c>
      <c r="F288" s="124"/>
      <c r="G288" s="125"/>
      <c r="H288" s="125"/>
      <c r="I288" s="125"/>
      <c r="J288" s="125"/>
      <c r="K288" s="136"/>
      <c r="L288" s="125"/>
      <c r="M288" s="125" t="str">
        <f>IFERROR(_xlfn.XLOOKUP($A288,Input_Raw!$A:$A,Input_Raw!CG:CG),"")</f>
        <v/>
      </c>
      <c r="N288" s="125" t="str">
        <f>IFERROR(_xlfn.XLOOKUP($A288,Input_Raw!$A:$A,Input_Raw!CH:CH),"")</f>
        <v/>
      </c>
      <c r="O288" s="137" t="str">
        <f t="shared" si="27"/>
        <v/>
      </c>
      <c r="P288" s="137" t="str">
        <f>IFERROR(1-SUMIF(WTG_BD!$F:$F,$A288,WTG_BD!$AA:$AA)/($AA288+SUMIF(WTG_BD!$F:$F,$A288,WTG_BD!$AA:$AA)),"")</f>
        <v/>
      </c>
      <c r="Q288" s="138" t="str">
        <f>IFERROR(1-SUMIF(IGA_BD!$F:$F,$A288,IGA_BD!$V:$V)/($AA288+SUMIF(IGA_BD!$F:$F,$A288,IGA_BD!$V:$V)),"")</f>
        <v/>
      </c>
      <c r="R288" s="143" t="str">
        <f>IFERROR(1-SUMIF(Grid_BD!$F:$F,$A288,Grid_BD!$X:$X)/($AA288+SUMIF(Grid_BD!$F:$F,$A288,Grid_BD!$X:$X)),"")</f>
        <v/>
      </c>
      <c r="S288" s="121"/>
      <c r="T288" s="138"/>
      <c r="U288" s="139"/>
      <c r="V288" s="121"/>
      <c r="W288" s="140" t="str">
        <f>IFERROR(Table13[[#This Row],[Mtr_Net_Exp (KWh)]]/(24*AR288*1000),"")</f>
        <v/>
      </c>
      <c r="X288" s="121" t="str">
        <f>IFERROR(_xlfn.XLOOKUP($A288,Input_Raw!$A:$A,Input_Raw!$CF:$CF),"")</f>
        <v/>
      </c>
      <c r="Y288" s="121" t="str">
        <f>IFERROR(_xlfn.XLOOKUP($A288,Input_Raw!$A:$A,Input_Raw!$CZ:$CZ),"")</f>
        <v/>
      </c>
      <c r="Z288" s="121" t="str">
        <f>IFERROR(_xlfn.XLOOKUP($A288,Input_Raw!$A:$A,Input_Raw!$DA:$DA),"")</f>
        <v/>
      </c>
      <c r="AA288" s="123" t="str">
        <f t="shared" si="28"/>
        <v/>
      </c>
      <c r="AB288" s="121" t="str">
        <f>IFERROR(_xlfn.XLOOKUP($A288,Input_Raw!$A:$A,Input_Raw!$DG:$DG),"")</f>
        <v/>
      </c>
      <c r="AC288" s="141">
        <f>IFERROR(_xlfn.XLOOKUP($D288,'Modelling New'!$D:$D,'Modelling New'!$J:$J),"")</f>
        <v>3.8</v>
      </c>
      <c r="AD288" s="123">
        <f>IFERROR(_xlfn.XLOOKUP($D288,'Modelling New'!$D:$D,'Modelling New'!$T:$T)*1000,"")</f>
        <v>128093.39599615177</v>
      </c>
      <c r="AE288" s="140"/>
      <c r="AF288" s="140">
        <f>IFERROR(_xlfn.XLOOKUP($D288,'Modelling New'!$D:$D,'Modelling New'!$W:$W),"")</f>
        <v>6.8425959399653721E-2</v>
      </c>
      <c r="AG288" s="140">
        <f>IFERROR(_xlfn.XLOOKUP($D288,'Modelling New'!$D:$D,'Modelling New'!$AE:$AE),"")</f>
        <v>0.96029999999999993</v>
      </c>
      <c r="AH288" s="140">
        <f>IFERROR(_xlfn.XLOOKUP($D288,'Modelling New'!$D:$D,'Modelling New'!$AF:$AF),"")</f>
        <v>0.995</v>
      </c>
      <c r="AI288" s="121" t="str">
        <f>IFERROR(_xlfn.XLOOKUP($A288,Input_Raw!$A:$A,Input_Raw!$DE:$DE),"")</f>
        <v/>
      </c>
      <c r="AJ288" s="121"/>
      <c r="AK288" s="121"/>
      <c r="AL288" s="121"/>
      <c r="AM288" s="121"/>
      <c r="AN288" s="142" t="str">
        <f>IFERROR(_xlfn.XLOOKUP($A288,Input_Raw!$A:$A,Input_Raw!$DB:$DB),"")</f>
        <v/>
      </c>
      <c r="AO288" s="140" t="str">
        <f>IFERROR((_xlfn.XLOOKUP($A288,'WTG Reactive Power'!$A:$A,'WTG Reactive Power'!$AR:$AR))/X288/1000,"")</f>
        <v/>
      </c>
      <c r="AP288" s="140">
        <f>IFERROR(_xlfn.XLOOKUP($D288,'Modelling New'!$D:$D,'Modelling New'!$AK:$AK),"")</f>
        <v>0.05</v>
      </c>
      <c r="AQ288" s="140">
        <f>IFERROR(_xlfn.XLOOKUP($D288,'Modelling New'!$D:$D,'Modelling New'!$AL:$AL),"")</f>
        <v>0.05</v>
      </c>
      <c r="AR288">
        <f>IFERROR(_xlfn.XLOOKUP($D288,'Modelling New'!$D:$D,'Modelling New'!$N:$N),"")</f>
        <v>78</v>
      </c>
    </row>
    <row r="289" spans="1:44">
      <c r="A289" s="134">
        <f t="shared" si="22"/>
        <v>46032</v>
      </c>
      <c r="B289" s="123">
        <f>YEAR(Table13[[#This Row],[Date]])+IF(MONTH(Table13[[#This Row],[Date]])&gt;=4,1,0)</f>
        <v>2026</v>
      </c>
      <c r="C289" s="121">
        <f>YEAR(Table13[[#This Row],[Date]])</f>
        <v>2026</v>
      </c>
      <c r="D289" s="135">
        <f>Table13[[#This Row],[Date]]-DAY(Table13[[#This Row],[Date]])+1</f>
        <v>46023</v>
      </c>
      <c r="E289" s="121">
        <f t="shared" si="26"/>
        <v>31</v>
      </c>
      <c r="F289" s="124"/>
      <c r="G289" s="125"/>
      <c r="H289" s="125"/>
      <c r="I289" s="125"/>
      <c r="J289" s="125"/>
      <c r="K289" s="136"/>
      <c r="L289" s="125"/>
      <c r="M289" s="125" t="str">
        <f>IFERROR(_xlfn.XLOOKUP($A289,Input_Raw!$A:$A,Input_Raw!CG:CG),"")</f>
        <v/>
      </c>
      <c r="N289" s="125" t="str">
        <f>IFERROR(_xlfn.XLOOKUP($A289,Input_Raw!$A:$A,Input_Raw!CH:CH),"")</f>
        <v/>
      </c>
      <c r="O289" s="137" t="str">
        <f t="shared" si="27"/>
        <v/>
      </c>
      <c r="P289" s="137" t="str">
        <f>IFERROR(1-SUMIF(WTG_BD!$F:$F,$A289,WTG_BD!$AA:$AA)/($AA289+SUMIF(WTG_BD!$F:$F,$A289,WTG_BD!$AA:$AA)),"")</f>
        <v/>
      </c>
      <c r="Q289" s="138" t="str">
        <f>IFERROR(1-SUMIF(IGA_BD!$F:$F,$A289,IGA_BD!$V:$V)/($AA289+SUMIF(IGA_BD!$F:$F,$A289,IGA_BD!$V:$V)),"")</f>
        <v/>
      </c>
      <c r="R289" s="143" t="str">
        <f>IFERROR(1-SUMIF(Grid_BD!$F:$F,$A289,Grid_BD!$X:$X)/($AA289+SUMIF(Grid_BD!$F:$F,$A289,Grid_BD!$X:$X)),"")</f>
        <v/>
      </c>
      <c r="S289" s="121"/>
      <c r="T289" s="138"/>
      <c r="U289" s="139"/>
      <c r="V289" s="121"/>
      <c r="W289" s="140" t="str">
        <f>IFERROR(Table13[[#This Row],[Mtr_Net_Exp (KWh)]]/(24*AR289*1000),"")</f>
        <v/>
      </c>
      <c r="X289" s="121" t="str">
        <f>IFERROR(_xlfn.XLOOKUP($A289,Input_Raw!$A:$A,Input_Raw!$CF:$CF),"")</f>
        <v/>
      </c>
      <c r="Y289" s="121" t="str">
        <f>IFERROR(_xlfn.XLOOKUP($A289,Input_Raw!$A:$A,Input_Raw!$CZ:$CZ),"")</f>
        <v/>
      </c>
      <c r="Z289" s="121" t="str">
        <f>IFERROR(_xlfn.XLOOKUP($A289,Input_Raw!$A:$A,Input_Raw!$DA:$DA),"")</f>
        <v/>
      </c>
      <c r="AA289" s="123" t="str">
        <f t="shared" si="28"/>
        <v/>
      </c>
      <c r="AB289" s="121" t="str">
        <f>IFERROR(_xlfn.XLOOKUP($A289,Input_Raw!$A:$A,Input_Raw!$DG:$DG),"")</f>
        <v/>
      </c>
      <c r="AC289" s="141">
        <f>IFERROR(_xlfn.XLOOKUP($D289,'Modelling New'!$D:$D,'Modelling New'!$J:$J),"")</f>
        <v>3.8</v>
      </c>
      <c r="AD289" s="123">
        <f>IFERROR(_xlfn.XLOOKUP($D289,'Modelling New'!$D:$D,'Modelling New'!$T:$T)*1000,"")</f>
        <v>128093.39599615177</v>
      </c>
      <c r="AE289" s="140"/>
      <c r="AF289" s="140">
        <f>IFERROR(_xlfn.XLOOKUP($D289,'Modelling New'!$D:$D,'Modelling New'!$W:$W),"")</f>
        <v>6.8425959399653721E-2</v>
      </c>
      <c r="AG289" s="140">
        <f>IFERROR(_xlfn.XLOOKUP($D289,'Modelling New'!$D:$D,'Modelling New'!$AE:$AE),"")</f>
        <v>0.96029999999999993</v>
      </c>
      <c r="AH289" s="140">
        <f>IFERROR(_xlfn.XLOOKUP($D289,'Modelling New'!$D:$D,'Modelling New'!$AF:$AF),"")</f>
        <v>0.995</v>
      </c>
      <c r="AI289" s="121" t="str">
        <f>IFERROR(_xlfn.XLOOKUP($A289,Input_Raw!$A:$A,Input_Raw!$DE:$DE),"")</f>
        <v/>
      </c>
      <c r="AJ289" s="121"/>
      <c r="AK289" s="121"/>
      <c r="AL289" s="121"/>
      <c r="AM289" s="121"/>
      <c r="AN289" s="142" t="str">
        <f>IFERROR(_xlfn.XLOOKUP($A289,Input_Raw!$A:$A,Input_Raw!$DB:$DB),"")</f>
        <v/>
      </c>
      <c r="AO289" s="140" t="str">
        <f>IFERROR((_xlfn.XLOOKUP($A289,'WTG Reactive Power'!$A:$A,'WTG Reactive Power'!$AR:$AR))/X289/1000,"")</f>
        <v/>
      </c>
      <c r="AP289" s="140">
        <f>IFERROR(_xlfn.XLOOKUP($D289,'Modelling New'!$D:$D,'Modelling New'!$AK:$AK),"")</f>
        <v>0.05</v>
      </c>
      <c r="AQ289" s="140">
        <f>IFERROR(_xlfn.XLOOKUP($D289,'Modelling New'!$D:$D,'Modelling New'!$AL:$AL),"")</f>
        <v>0.05</v>
      </c>
      <c r="AR289">
        <f>IFERROR(_xlfn.XLOOKUP($D289,'Modelling New'!$D:$D,'Modelling New'!$N:$N),"")</f>
        <v>78</v>
      </c>
    </row>
    <row r="290" spans="1:44">
      <c r="A290" s="134">
        <f t="shared" si="22"/>
        <v>46033</v>
      </c>
      <c r="B290" s="123">
        <f>YEAR(Table13[[#This Row],[Date]])+IF(MONTH(Table13[[#This Row],[Date]])&gt;=4,1,0)</f>
        <v>2026</v>
      </c>
      <c r="C290" s="121">
        <f>YEAR(Table13[[#This Row],[Date]])</f>
        <v>2026</v>
      </c>
      <c r="D290" s="135">
        <f>Table13[[#This Row],[Date]]-DAY(Table13[[#This Row],[Date]])+1</f>
        <v>46023</v>
      </c>
      <c r="E290" s="121">
        <f t="shared" si="26"/>
        <v>31</v>
      </c>
      <c r="F290" s="124"/>
      <c r="G290" s="125"/>
      <c r="H290" s="125"/>
      <c r="I290" s="125"/>
      <c r="J290" s="125"/>
      <c r="K290" s="136"/>
      <c r="L290" s="125"/>
      <c r="M290" s="125" t="str">
        <f>IFERROR(_xlfn.XLOOKUP($A290,Input_Raw!$A:$A,Input_Raw!CG:CG),"")</f>
        <v/>
      </c>
      <c r="N290" s="125" t="str">
        <f>IFERROR(_xlfn.XLOOKUP($A290,Input_Raw!$A:$A,Input_Raw!CH:CH),"")</f>
        <v/>
      </c>
      <c r="O290" s="137" t="str">
        <f t="shared" si="27"/>
        <v/>
      </c>
      <c r="P290" s="137" t="str">
        <f>IFERROR(1-SUMIF(WTG_BD!$F:$F,$A290,WTG_BD!$AA:$AA)/($AA290+SUMIF(WTG_BD!$F:$F,$A290,WTG_BD!$AA:$AA)),"")</f>
        <v/>
      </c>
      <c r="Q290" s="138" t="str">
        <f>IFERROR(1-SUMIF(IGA_BD!$F:$F,$A290,IGA_BD!$V:$V)/($AA290+SUMIF(IGA_BD!$F:$F,$A290,IGA_BD!$V:$V)),"")</f>
        <v/>
      </c>
      <c r="R290" s="143" t="str">
        <f>IFERROR(1-SUMIF(Grid_BD!$F:$F,$A290,Grid_BD!$X:$X)/($AA290+SUMIF(Grid_BD!$F:$F,$A290,Grid_BD!$X:$X)),"")</f>
        <v/>
      </c>
      <c r="S290" s="121"/>
      <c r="T290" s="138"/>
      <c r="U290" s="139"/>
      <c r="V290" s="121"/>
      <c r="W290" s="140" t="str">
        <f>IFERROR(Table13[[#This Row],[Mtr_Net_Exp (KWh)]]/(24*AR290*1000),"")</f>
        <v/>
      </c>
      <c r="X290" s="121" t="str">
        <f>IFERROR(_xlfn.XLOOKUP($A290,Input_Raw!$A:$A,Input_Raw!$CF:$CF),"")</f>
        <v/>
      </c>
      <c r="Y290" s="121" t="str">
        <f>IFERROR(_xlfn.XLOOKUP($A290,Input_Raw!$A:$A,Input_Raw!$CZ:$CZ),"")</f>
        <v/>
      </c>
      <c r="Z290" s="121" t="str">
        <f>IFERROR(_xlfn.XLOOKUP($A290,Input_Raw!$A:$A,Input_Raw!$DA:$DA),"")</f>
        <v/>
      </c>
      <c r="AA290" s="123" t="str">
        <f t="shared" si="28"/>
        <v/>
      </c>
      <c r="AB290" s="121" t="str">
        <f>IFERROR(_xlfn.XLOOKUP($A290,Input_Raw!$A:$A,Input_Raw!$DG:$DG),"")</f>
        <v/>
      </c>
      <c r="AC290" s="141">
        <f>IFERROR(_xlfn.XLOOKUP($D290,'Modelling New'!$D:$D,'Modelling New'!$J:$J),"")</f>
        <v>3.8</v>
      </c>
      <c r="AD290" s="123">
        <f>IFERROR(_xlfn.XLOOKUP($D290,'Modelling New'!$D:$D,'Modelling New'!$T:$T)*1000,"")</f>
        <v>128093.39599615177</v>
      </c>
      <c r="AE290" s="140"/>
      <c r="AF290" s="140">
        <f>IFERROR(_xlfn.XLOOKUP($D290,'Modelling New'!$D:$D,'Modelling New'!$W:$W),"")</f>
        <v>6.8425959399653721E-2</v>
      </c>
      <c r="AG290" s="140">
        <f>IFERROR(_xlfn.XLOOKUP($D290,'Modelling New'!$D:$D,'Modelling New'!$AE:$AE),"")</f>
        <v>0.96029999999999993</v>
      </c>
      <c r="AH290" s="140">
        <f>IFERROR(_xlfn.XLOOKUP($D290,'Modelling New'!$D:$D,'Modelling New'!$AF:$AF),"")</f>
        <v>0.995</v>
      </c>
      <c r="AI290" s="121" t="str">
        <f>IFERROR(_xlfn.XLOOKUP($A290,Input_Raw!$A:$A,Input_Raw!$DE:$DE),"")</f>
        <v/>
      </c>
      <c r="AJ290" s="121"/>
      <c r="AK290" s="121"/>
      <c r="AL290" s="121"/>
      <c r="AM290" s="121"/>
      <c r="AN290" s="142" t="str">
        <f>IFERROR(_xlfn.XLOOKUP($A290,Input_Raw!$A:$A,Input_Raw!$DB:$DB),"")</f>
        <v/>
      </c>
      <c r="AO290" s="140" t="str">
        <f>IFERROR((_xlfn.XLOOKUP($A290,'WTG Reactive Power'!$A:$A,'WTG Reactive Power'!$AR:$AR))/X290/1000,"")</f>
        <v/>
      </c>
      <c r="AP290" s="140">
        <f>IFERROR(_xlfn.XLOOKUP($D290,'Modelling New'!$D:$D,'Modelling New'!$AK:$AK),"")</f>
        <v>0.05</v>
      </c>
      <c r="AQ290" s="140">
        <f>IFERROR(_xlfn.XLOOKUP($D290,'Modelling New'!$D:$D,'Modelling New'!$AL:$AL),"")</f>
        <v>0.05</v>
      </c>
      <c r="AR290">
        <f>IFERROR(_xlfn.XLOOKUP($D290,'Modelling New'!$D:$D,'Modelling New'!$N:$N),"")</f>
        <v>78</v>
      </c>
    </row>
    <row r="291" spans="1:44">
      <c r="A291" s="134">
        <f t="shared" si="22"/>
        <v>46034</v>
      </c>
      <c r="B291" s="123">
        <f>YEAR(Table13[[#This Row],[Date]])+IF(MONTH(Table13[[#This Row],[Date]])&gt;=4,1,0)</f>
        <v>2026</v>
      </c>
      <c r="C291" s="121">
        <f>YEAR(Table13[[#This Row],[Date]])</f>
        <v>2026</v>
      </c>
      <c r="D291" s="135">
        <f>Table13[[#This Row],[Date]]-DAY(Table13[[#This Row],[Date]])+1</f>
        <v>46023</v>
      </c>
      <c r="E291" s="121">
        <f t="shared" si="26"/>
        <v>31</v>
      </c>
      <c r="F291" s="124"/>
      <c r="G291" s="125"/>
      <c r="H291" s="125"/>
      <c r="I291" s="125"/>
      <c r="J291" s="125"/>
      <c r="K291" s="136"/>
      <c r="L291" s="125"/>
      <c r="M291" s="125" t="str">
        <f>IFERROR(_xlfn.XLOOKUP($A291,Input_Raw!$A:$A,Input_Raw!CG:CG),"")</f>
        <v/>
      </c>
      <c r="N291" s="125" t="str">
        <f>IFERROR(_xlfn.XLOOKUP($A291,Input_Raw!$A:$A,Input_Raw!CH:CH),"")</f>
        <v/>
      </c>
      <c r="O291" s="137" t="str">
        <f t="shared" si="27"/>
        <v/>
      </c>
      <c r="P291" s="137" t="str">
        <f>IFERROR(1-SUMIF(WTG_BD!$F:$F,$A291,WTG_BD!$AA:$AA)/($AA291+SUMIF(WTG_BD!$F:$F,$A291,WTG_BD!$AA:$AA)),"")</f>
        <v/>
      </c>
      <c r="Q291" s="138" t="str">
        <f>IFERROR(1-SUMIF(IGA_BD!$F:$F,$A291,IGA_BD!$V:$V)/($AA291+SUMIF(IGA_BD!$F:$F,$A291,IGA_BD!$V:$V)),"")</f>
        <v/>
      </c>
      <c r="R291" s="143" t="str">
        <f>IFERROR(1-SUMIF(Grid_BD!$F:$F,$A291,Grid_BD!$X:$X)/($AA291+SUMIF(Grid_BD!$F:$F,$A291,Grid_BD!$X:$X)),"")</f>
        <v/>
      </c>
      <c r="S291" s="121"/>
      <c r="T291" s="138"/>
      <c r="U291" s="139"/>
      <c r="V291" s="121"/>
      <c r="W291" s="140" t="str">
        <f>IFERROR(Table13[[#This Row],[Mtr_Net_Exp (KWh)]]/(24*AR291*1000),"")</f>
        <v/>
      </c>
      <c r="X291" s="121" t="str">
        <f>IFERROR(_xlfn.XLOOKUP($A291,Input_Raw!$A:$A,Input_Raw!$CF:$CF),"")</f>
        <v/>
      </c>
      <c r="Y291" s="121" t="str">
        <f>IFERROR(_xlfn.XLOOKUP($A291,Input_Raw!$A:$A,Input_Raw!$CZ:$CZ),"")</f>
        <v/>
      </c>
      <c r="Z291" s="121" t="str">
        <f>IFERROR(_xlfn.XLOOKUP($A291,Input_Raw!$A:$A,Input_Raw!$DA:$DA),"")</f>
        <v/>
      </c>
      <c r="AA291" s="123" t="str">
        <f t="shared" si="28"/>
        <v/>
      </c>
      <c r="AB291" s="121" t="str">
        <f>IFERROR(_xlfn.XLOOKUP($A291,Input_Raw!$A:$A,Input_Raw!$DG:$DG),"")</f>
        <v/>
      </c>
      <c r="AC291" s="141">
        <f>IFERROR(_xlfn.XLOOKUP($D291,'Modelling New'!$D:$D,'Modelling New'!$J:$J),"")</f>
        <v>3.8</v>
      </c>
      <c r="AD291" s="123">
        <f>IFERROR(_xlfn.XLOOKUP($D291,'Modelling New'!$D:$D,'Modelling New'!$T:$T)*1000,"")</f>
        <v>128093.39599615177</v>
      </c>
      <c r="AE291" s="140"/>
      <c r="AF291" s="140">
        <f>IFERROR(_xlfn.XLOOKUP($D291,'Modelling New'!$D:$D,'Modelling New'!$W:$W),"")</f>
        <v>6.8425959399653721E-2</v>
      </c>
      <c r="AG291" s="140">
        <f>IFERROR(_xlfn.XLOOKUP($D291,'Modelling New'!$D:$D,'Modelling New'!$AE:$AE),"")</f>
        <v>0.96029999999999993</v>
      </c>
      <c r="AH291" s="140">
        <f>IFERROR(_xlfn.XLOOKUP($D291,'Modelling New'!$D:$D,'Modelling New'!$AF:$AF),"")</f>
        <v>0.995</v>
      </c>
      <c r="AI291" s="121" t="str">
        <f>IFERROR(_xlfn.XLOOKUP($A291,Input_Raw!$A:$A,Input_Raw!$DE:$DE),"")</f>
        <v/>
      </c>
      <c r="AJ291" s="121"/>
      <c r="AK291" s="121"/>
      <c r="AL291" s="121"/>
      <c r="AM291" s="121"/>
      <c r="AN291" s="142" t="str">
        <f>IFERROR(_xlfn.XLOOKUP($A291,Input_Raw!$A:$A,Input_Raw!$DB:$DB),"")</f>
        <v/>
      </c>
      <c r="AO291" s="140" t="str">
        <f>IFERROR((_xlfn.XLOOKUP($A291,'WTG Reactive Power'!$A:$A,'WTG Reactive Power'!$AR:$AR))/X291/1000,"")</f>
        <v/>
      </c>
      <c r="AP291" s="140">
        <f>IFERROR(_xlfn.XLOOKUP($D291,'Modelling New'!$D:$D,'Modelling New'!$AK:$AK),"")</f>
        <v>0.05</v>
      </c>
      <c r="AQ291" s="140">
        <f>IFERROR(_xlfn.XLOOKUP($D291,'Modelling New'!$D:$D,'Modelling New'!$AL:$AL),"")</f>
        <v>0.05</v>
      </c>
      <c r="AR291">
        <f>IFERROR(_xlfn.XLOOKUP($D291,'Modelling New'!$D:$D,'Modelling New'!$N:$N),"")</f>
        <v>78</v>
      </c>
    </row>
    <row r="292" spans="1:44">
      <c r="A292" s="134">
        <f t="shared" si="22"/>
        <v>46035</v>
      </c>
      <c r="B292" s="123">
        <f>YEAR(Table13[[#This Row],[Date]])+IF(MONTH(Table13[[#This Row],[Date]])&gt;=4,1,0)</f>
        <v>2026</v>
      </c>
      <c r="C292" s="121">
        <f>YEAR(Table13[[#This Row],[Date]])</f>
        <v>2026</v>
      </c>
      <c r="D292" s="135">
        <f>Table13[[#This Row],[Date]]-DAY(Table13[[#This Row],[Date]])+1</f>
        <v>46023</v>
      </c>
      <c r="E292" s="121">
        <f t="shared" si="26"/>
        <v>31</v>
      </c>
      <c r="F292" s="124"/>
      <c r="G292" s="125"/>
      <c r="H292" s="125"/>
      <c r="I292" s="125"/>
      <c r="J292" s="125"/>
      <c r="K292" s="136"/>
      <c r="L292" s="125"/>
      <c r="M292" s="125" t="str">
        <f>IFERROR(_xlfn.XLOOKUP($A292,Input_Raw!$A:$A,Input_Raw!CG:CG),"")</f>
        <v/>
      </c>
      <c r="N292" s="125" t="str">
        <f>IFERROR(_xlfn.XLOOKUP($A292,Input_Raw!$A:$A,Input_Raw!CH:CH),"")</f>
        <v/>
      </c>
      <c r="O292" s="137" t="str">
        <f t="shared" si="27"/>
        <v/>
      </c>
      <c r="P292" s="137" t="str">
        <f>IFERROR(1-SUMIF(WTG_BD!$F:$F,$A292,WTG_BD!$AA:$AA)/($AA292+SUMIF(WTG_BD!$F:$F,$A292,WTG_BD!$AA:$AA)),"")</f>
        <v/>
      </c>
      <c r="Q292" s="138" t="str">
        <f>IFERROR(1-SUMIF(IGA_BD!$F:$F,$A292,IGA_BD!$V:$V)/($AA292+SUMIF(IGA_BD!$F:$F,$A292,IGA_BD!$V:$V)),"")</f>
        <v/>
      </c>
      <c r="R292" s="143" t="str">
        <f>IFERROR(1-SUMIF(Grid_BD!$F:$F,$A292,Grid_BD!$X:$X)/($AA292+SUMIF(Grid_BD!$F:$F,$A292,Grid_BD!$X:$X)),"")</f>
        <v/>
      </c>
      <c r="S292" s="121"/>
      <c r="T292" s="138"/>
      <c r="U292" s="139"/>
      <c r="V292" s="121"/>
      <c r="W292" s="140" t="str">
        <f>IFERROR(Table13[[#This Row],[Mtr_Net_Exp (KWh)]]/(24*AR292*1000),"")</f>
        <v/>
      </c>
      <c r="X292" s="121" t="str">
        <f>IFERROR(_xlfn.XLOOKUP($A292,Input_Raw!$A:$A,Input_Raw!$CF:$CF),"")</f>
        <v/>
      </c>
      <c r="Y292" s="121" t="str">
        <f>IFERROR(_xlfn.XLOOKUP($A292,Input_Raw!$A:$A,Input_Raw!$CZ:$CZ),"")</f>
        <v/>
      </c>
      <c r="Z292" s="121" t="str">
        <f>IFERROR(_xlfn.XLOOKUP($A292,Input_Raw!$A:$A,Input_Raw!$DA:$DA),"")</f>
        <v/>
      </c>
      <c r="AA292" s="123" t="str">
        <f t="shared" si="28"/>
        <v/>
      </c>
      <c r="AB292" s="121" t="str">
        <f>IFERROR(_xlfn.XLOOKUP($A292,Input_Raw!$A:$A,Input_Raw!$DG:$DG),"")</f>
        <v/>
      </c>
      <c r="AC292" s="141">
        <f>IFERROR(_xlfn.XLOOKUP($D292,'Modelling New'!$D:$D,'Modelling New'!$J:$J),"")</f>
        <v>3.8</v>
      </c>
      <c r="AD292" s="123">
        <f>IFERROR(_xlfn.XLOOKUP($D292,'Modelling New'!$D:$D,'Modelling New'!$T:$T)*1000,"")</f>
        <v>128093.39599615177</v>
      </c>
      <c r="AE292" s="140"/>
      <c r="AF292" s="140">
        <f>IFERROR(_xlfn.XLOOKUP($D292,'Modelling New'!$D:$D,'Modelling New'!$W:$W),"")</f>
        <v>6.8425959399653721E-2</v>
      </c>
      <c r="AG292" s="140">
        <f>IFERROR(_xlfn.XLOOKUP($D292,'Modelling New'!$D:$D,'Modelling New'!$AE:$AE),"")</f>
        <v>0.96029999999999993</v>
      </c>
      <c r="AH292" s="140">
        <f>IFERROR(_xlfn.XLOOKUP($D292,'Modelling New'!$D:$D,'Modelling New'!$AF:$AF),"")</f>
        <v>0.995</v>
      </c>
      <c r="AI292" s="121" t="str">
        <f>IFERROR(_xlfn.XLOOKUP($A292,Input_Raw!$A:$A,Input_Raw!$DE:$DE),"")</f>
        <v/>
      </c>
      <c r="AJ292" s="121"/>
      <c r="AK292" s="121"/>
      <c r="AL292" s="121"/>
      <c r="AM292" s="121"/>
      <c r="AN292" s="142" t="str">
        <f>IFERROR(_xlfn.XLOOKUP($A292,Input_Raw!$A:$A,Input_Raw!$DB:$DB),"")</f>
        <v/>
      </c>
      <c r="AO292" s="140" t="str">
        <f>IFERROR((_xlfn.XLOOKUP($A292,'WTG Reactive Power'!$A:$A,'WTG Reactive Power'!$AR:$AR))/X292/1000,"")</f>
        <v/>
      </c>
      <c r="AP292" s="140">
        <f>IFERROR(_xlfn.XLOOKUP($D292,'Modelling New'!$D:$D,'Modelling New'!$AK:$AK),"")</f>
        <v>0.05</v>
      </c>
      <c r="AQ292" s="140">
        <f>IFERROR(_xlfn.XLOOKUP($D292,'Modelling New'!$D:$D,'Modelling New'!$AL:$AL),"")</f>
        <v>0.05</v>
      </c>
      <c r="AR292">
        <f>IFERROR(_xlfn.XLOOKUP($D292,'Modelling New'!$D:$D,'Modelling New'!$N:$N),"")</f>
        <v>78</v>
      </c>
    </row>
    <row r="293" spans="1:44">
      <c r="A293" s="134">
        <f t="shared" si="22"/>
        <v>46036</v>
      </c>
      <c r="B293" s="123">
        <f>YEAR(Table13[[#This Row],[Date]])+IF(MONTH(Table13[[#This Row],[Date]])&gt;=4,1,0)</f>
        <v>2026</v>
      </c>
      <c r="C293" s="121">
        <f>YEAR(Table13[[#This Row],[Date]])</f>
        <v>2026</v>
      </c>
      <c r="D293" s="135">
        <f>Table13[[#This Row],[Date]]-DAY(Table13[[#This Row],[Date]])+1</f>
        <v>46023</v>
      </c>
      <c r="E293" s="121">
        <f t="shared" ref="E293:E324" si="29">DAY(EOMONTH(A293,0))</f>
        <v>31</v>
      </c>
      <c r="F293" s="124"/>
      <c r="G293" s="125"/>
      <c r="H293" s="125"/>
      <c r="I293" s="125"/>
      <c r="J293" s="125"/>
      <c r="K293" s="136"/>
      <c r="L293" s="125"/>
      <c r="M293" s="125" t="str">
        <f>IFERROR(_xlfn.XLOOKUP($A293,Input_Raw!$A:$A,Input_Raw!CG:CG),"")</f>
        <v/>
      </c>
      <c r="N293" s="125" t="str">
        <f>IFERROR(_xlfn.XLOOKUP($A293,Input_Raw!$A:$A,Input_Raw!CH:CH),"")</f>
        <v/>
      </c>
      <c r="O293" s="137" t="str">
        <f t="shared" ref="O293:O324" si="30">IFERROR(P293*Q293,"")</f>
        <v/>
      </c>
      <c r="P293" s="137" t="str">
        <f>IFERROR(1-SUMIF(WTG_BD!$F:$F,$A293,WTG_BD!$AA:$AA)/($AA293+SUMIF(WTG_BD!$F:$F,$A293,WTG_BD!$AA:$AA)),"")</f>
        <v/>
      </c>
      <c r="Q293" s="138" t="str">
        <f>IFERROR(1-SUMIF(IGA_BD!$F:$F,$A293,IGA_BD!$V:$V)/($AA293+SUMIF(IGA_BD!$F:$F,$A293,IGA_BD!$V:$V)),"")</f>
        <v/>
      </c>
      <c r="R293" s="143" t="str">
        <f>IFERROR(1-SUMIF(Grid_BD!$F:$F,$A293,Grid_BD!$X:$X)/($AA293+SUMIF(Grid_BD!$F:$F,$A293,Grid_BD!$X:$X)),"")</f>
        <v/>
      </c>
      <c r="S293" s="121"/>
      <c r="T293" s="138"/>
      <c r="U293" s="139"/>
      <c r="V293" s="121"/>
      <c r="W293" s="140" t="str">
        <f>IFERROR(Table13[[#This Row],[Mtr_Net_Exp (KWh)]]/(24*AR293*1000),"")</f>
        <v/>
      </c>
      <c r="X293" s="121" t="str">
        <f>IFERROR(_xlfn.XLOOKUP($A293,Input_Raw!$A:$A,Input_Raw!$CF:$CF),"")</f>
        <v/>
      </c>
      <c r="Y293" s="121" t="str">
        <f>IFERROR(_xlfn.XLOOKUP($A293,Input_Raw!$A:$A,Input_Raw!$CZ:$CZ),"")</f>
        <v/>
      </c>
      <c r="Z293" s="121" t="str">
        <f>IFERROR(_xlfn.XLOOKUP($A293,Input_Raw!$A:$A,Input_Raw!$DA:$DA),"")</f>
        <v/>
      </c>
      <c r="AA293" s="123" t="str">
        <f t="shared" ref="AA293:AA324" si="31">IFERROR(Y293-Z293,"")</f>
        <v/>
      </c>
      <c r="AB293" s="121" t="str">
        <f>IFERROR(_xlfn.XLOOKUP($A293,Input_Raw!$A:$A,Input_Raw!$DG:$DG),"")</f>
        <v/>
      </c>
      <c r="AC293" s="141">
        <f>IFERROR(_xlfn.XLOOKUP($D293,'Modelling New'!$D:$D,'Modelling New'!$J:$J),"")</f>
        <v>3.8</v>
      </c>
      <c r="AD293" s="123">
        <f>IFERROR(_xlfn.XLOOKUP($D293,'Modelling New'!$D:$D,'Modelling New'!$T:$T)*1000,"")</f>
        <v>128093.39599615177</v>
      </c>
      <c r="AE293" s="140"/>
      <c r="AF293" s="140">
        <f>IFERROR(_xlfn.XLOOKUP($D293,'Modelling New'!$D:$D,'Modelling New'!$W:$W),"")</f>
        <v>6.8425959399653721E-2</v>
      </c>
      <c r="AG293" s="140">
        <f>IFERROR(_xlfn.XLOOKUP($D293,'Modelling New'!$D:$D,'Modelling New'!$AE:$AE),"")</f>
        <v>0.96029999999999993</v>
      </c>
      <c r="AH293" s="140">
        <f>IFERROR(_xlfn.XLOOKUP($D293,'Modelling New'!$D:$D,'Modelling New'!$AF:$AF),"")</f>
        <v>0.995</v>
      </c>
      <c r="AI293" s="121" t="str">
        <f>IFERROR(_xlfn.XLOOKUP($A293,Input_Raw!$A:$A,Input_Raw!$DE:$DE),"")</f>
        <v/>
      </c>
      <c r="AJ293" s="121"/>
      <c r="AK293" s="121"/>
      <c r="AL293" s="121"/>
      <c r="AM293" s="121"/>
      <c r="AN293" s="142" t="str">
        <f>IFERROR(_xlfn.XLOOKUP($A293,Input_Raw!$A:$A,Input_Raw!$DB:$DB),"")</f>
        <v/>
      </c>
      <c r="AO293" s="140" t="str">
        <f>IFERROR((_xlfn.XLOOKUP($A293,'WTG Reactive Power'!$A:$A,'WTG Reactive Power'!$AR:$AR))/X293/1000,"")</f>
        <v/>
      </c>
      <c r="AP293" s="140">
        <f>IFERROR(_xlfn.XLOOKUP($D293,'Modelling New'!$D:$D,'Modelling New'!$AK:$AK),"")</f>
        <v>0.05</v>
      </c>
      <c r="AQ293" s="140">
        <f>IFERROR(_xlfn.XLOOKUP($D293,'Modelling New'!$D:$D,'Modelling New'!$AL:$AL),"")</f>
        <v>0.05</v>
      </c>
      <c r="AR293">
        <f>IFERROR(_xlfn.XLOOKUP($D293,'Modelling New'!$D:$D,'Modelling New'!$N:$N),"")</f>
        <v>78</v>
      </c>
    </row>
    <row r="294" spans="1:44">
      <c r="A294" s="134">
        <f t="shared" ref="A294:A357" si="32">A293+1</f>
        <v>46037</v>
      </c>
      <c r="B294" s="123">
        <f>YEAR(Table13[[#This Row],[Date]])+IF(MONTH(Table13[[#This Row],[Date]])&gt;=4,1,0)</f>
        <v>2026</v>
      </c>
      <c r="C294" s="121">
        <f>YEAR(Table13[[#This Row],[Date]])</f>
        <v>2026</v>
      </c>
      <c r="D294" s="135">
        <f>Table13[[#This Row],[Date]]-DAY(Table13[[#This Row],[Date]])+1</f>
        <v>46023</v>
      </c>
      <c r="E294" s="121">
        <f t="shared" si="29"/>
        <v>31</v>
      </c>
      <c r="F294" s="124"/>
      <c r="G294" s="125"/>
      <c r="H294" s="125"/>
      <c r="I294" s="125"/>
      <c r="J294" s="125"/>
      <c r="K294" s="136"/>
      <c r="L294" s="125"/>
      <c r="M294" s="125" t="str">
        <f>IFERROR(_xlfn.XLOOKUP($A294,Input_Raw!$A:$A,Input_Raw!CG:CG),"")</f>
        <v/>
      </c>
      <c r="N294" s="125" t="str">
        <f>IFERROR(_xlfn.XLOOKUP($A294,Input_Raw!$A:$A,Input_Raw!CH:CH),"")</f>
        <v/>
      </c>
      <c r="O294" s="137" t="str">
        <f t="shared" si="30"/>
        <v/>
      </c>
      <c r="P294" s="137" t="str">
        <f>IFERROR(1-SUMIF(WTG_BD!$F:$F,$A294,WTG_BD!$AA:$AA)/($AA294+SUMIF(WTG_BD!$F:$F,$A294,WTG_BD!$AA:$AA)),"")</f>
        <v/>
      </c>
      <c r="Q294" s="138" t="str">
        <f>IFERROR(1-SUMIF(IGA_BD!$F:$F,$A294,IGA_BD!$V:$V)/($AA294+SUMIF(IGA_BD!$F:$F,$A294,IGA_BD!$V:$V)),"")</f>
        <v/>
      </c>
      <c r="R294" s="143" t="str">
        <f>IFERROR(1-SUMIF(Grid_BD!$F:$F,$A294,Grid_BD!$X:$X)/($AA294+SUMIF(Grid_BD!$F:$F,$A294,Grid_BD!$X:$X)),"")</f>
        <v/>
      </c>
      <c r="S294" s="121"/>
      <c r="T294" s="138"/>
      <c r="U294" s="139"/>
      <c r="V294" s="121"/>
      <c r="W294" s="140" t="str">
        <f>IFERROR(Table13[[#This Row],[Mtr_Net_Exp (KWh)]]/(24*AR294*1000),"")</f>
        <v/>
      </c>
      <c r="X294" s="121" t="str">
        <f>IFERROR(_xlfn.XLOOKUP($A294,Input_Raw!$A:$A,Input_Raw!$CF:$CF),"")</f>
        <v/>
      </c>
      <c r="Y294" s="121" t="str">
        <f>IFERROR(_xlfn.XLOOKUP($A294,Input_Raw!$A:$A,Input_Raw!$CZ:$CZ),"")</f>
        <v/>
      </c>
      <c r="Z294" s="121" t="str">
        <f>IFERROR(_xlfn.XLOOKUP($A294,Input_Raw!$A:$A,Input_Raw!$DA:$DA),"")</f>
        <v/>
      </c>
      <c r="AA294" s="123" t="str">
        <f t="shared" si="31"/>
        <v/>
      </c>
      <c r="AB294" s="121" t="str">
        <f>IFERROR(_xlfn.XLOOKUP($A294,Input_Raw!$A:$A,Input_Raw!$DG:$DG),"")</f>
        <v/>
      </c>
      <c r="AC294" s="141">
        <f>IFERROR(_xlfn.XLOOKUP($D294,'Modelling New'!$D:$D,'Modelling New'!$J:$J),"")</f>
        <v>3.8</v>
      </c>
      <c r="AD294" s="123">
        <f>IFERROR(_xlfn.XLOOKUP($D294,'Modelling New'!$D:$D,'Modelling New'!$T:$T)*1000,"")</f>
        <v>128093.39599615177</v>
      </c>
      <c r="AE294" s="140"/>
      <c r="AF294" s="140">
        <f>IFERROR(_xlfn.XLOOKUP($D294,'Modelling New'!$D:$D,'Modelling New'!$W:$W),"")</f>
        <v>6.8425959399653721E-2</v>
      </c>
      <c r="AG294" s="140">
        <f>IFERROR(_xlfn.XLOOKUP($D294,'Modelling New'!$D:$D,'Modelling New'!$AE:$AE),"")</f>
        <v>0.96029999999999993</v>
      </c>
      <c r="AH294" s="140">
        <f>IFERROR(_xlfn.XLOOKUP($D294,'Modelling New'!$D:$D,'Modelling New'!$AF:$AF),"")</f>
        <v>0.995</v>
      </c>
      <c r="AI294" s="121" t="str">
        <f>IFERROR(_xlfn.XLOOKUP($A294,Input_Raw!$A:$A,Input_Raw!$DE:$DE),"")</f>
        <v/>
      </c>
      <c r="AJ294" s="121"/>
      <c r="AK294" s="121"/>
      <c r="AL294" s="121"/>
      <c r="AM294" s="121"/>
      <c r="AN294" s="142" t="str">
        <f>IFERROR(_xlfn.XLOOKUP($A294,Input_Raw!$A:$A,Input_Raw!$DB:$DB),"")</f>
        <v/>
      </c>
      <c r="AO294" s="140" t="str">
        <f>IFERROR((_xlfn.XLOOKUP($A294,'WTG Reactive Power'!$A:$A,'WTG Reactive Power'!$AR:$AR))/X294/1000,"")</f>
        <v/>
      </c>
      <c r="AP294" s="140">
        <f>IFERROR(_xlfn.XLOOKUP($D294,'Modelling New'!$D:$D,'Modelling New'!$AK:$AK),"")</f>
        <v>0.05</v>
      </c>
      <c r="AQ294" s="140">
        <f>IFERROR(_xlfn.XLOOKUP($D294,'Modelling New'!$D:$D,'Modelling New'!$AL:$AL),"")</f>
        <v>0.05</v>
      </c>
      <c r="AR294">
        <f>IFERROR(_xlfn.XLOOKUP($D294,'Modelling New'!$D:$D,'Modelling New'!$N:$N),"")</f>
        <v>78</v>
      </c>
    </row>
    <row r="295" spans="1:44">
      <c r="A295" s="134">
        <f t="shared" si="32"/>
        <v>46038</v>
      </c>
      <c r="B295" s="123">
        <f>YEAR(Table13[[#This Row],[Date]])+IF(MONTH(Table13[[#This Row],[Date]])&gt;=4,1,0)</f>
        <v>2026</v>
      </c>
      <c r="C295" s="121">
        <f>YEAR(Table13[[#This Row],[Date]])</f>
        <v>2026</v>
      </c>
      <c r="D295" s="135">
        <f>Table13[[#This Row],[Date]]-DAY(Table13[[#This Row],[Date]])+1</f>
        <v>46023</v>
      </c>
      <c r="E295" s="121">
        <f t="shared" si="29"/>
        <v>31</v>
      </c>
      <c r="F295" s="124"/>
      <c r="G295" s="125"/>
      <c r="H295" s="125"/>
      <c r="I295" s="125"/>
      <c r="J295" s="125"/>
      <c r="K295" s="136"/>
      <c r="L295" s="125"/>
      <c r="M295" s="125" t="str">
        <f>IFERROR(_xlfn.XLOOKUP($A295,Input_Raw!$A:$A,Input_Raw!CG:CG),"")</f>
        <v/>
      </c>
      <c r="N295" s="125" t="str">
        <f>IFERROR(_xlfn.XLOOKUP($A295,Input_Raw!$A:$A,Input_Raw!CH:CH),"")</f>
        <v/>
      </c>
      <c r="O295" s="137" t="str">
        <f t="shared" si="30"/>
        <v/>
      </c>
      <c r="P295" s="137" t="str">
        <f>IFERROR(1-SUMIF(WTG_BD!$F:$F,$A295,WTG_BD!$AA:$AA)/($AA295+SUMIF(WTG_BD!$F:$F,$A295,WTG_BD!$AA:$AA)),"")</f>
        <v/>
      </c>
      <c r="Q295" s="138" t="str">
        <f>IFERROR(1-SUMIF(IGA_BD!$F:$F,$A295,IGA_BD!$V:$V)/($AA295+SUMIF(IGA_BD!$F:$F,$A295,IGA_BD!$V:$V)),"")</f>
        <v/>
      </c>
      <c r="R295" s="143" t="str">
        <f>IFERROR(1-SUMIF(Grid_BD!$F:$F,$A295,Grid_BD!$X:$X)/($AA295+SUMIF(Grid_BD!$F:$F,$A295,Grid_BD!$X:$X)),"")</f>
        <v/>
      </c>
      <c r="S295" s="121"/>
      <c r="T295" s="138"/>
      <c r="U295" s="139"/>
      <c r="V295" s="121"/>
      <c r="W295" s="140" t="str">
        <f>IFERROR(Table13[[#This Row],[Mtr_Net_Exp (KWh)]]/(24*AR295*1000),"")</f>
        <v/>
      </c>
      <c r="X295" s="121" t="str">
        <f>IFERROR(_xlfn.XLOOKUP($A295,Input_Raw!$A:$A,Input_Raw!$CF:$CF),"")</f>
        <v/>
      </c>
      <c r="Y295" s="121" t="str">
        <f>IFERROR(_xlfn.XLOOKUP($A295,Input_Raw!$A:$A,Input_Raw!$CZ:$CZ),"")</f>
        <v/>
      </c>
      <c r="Z295" s="121" t="str">
        <f>IFERROR(_xlfn.XLOOKUP($A295,Input_Raw!$A:$A,Input_Raw!$DA:$DA),"")</f>
        <v/>
      </c>
      <c r="AA295" s="123" t="str">
        <f t="shared" si="31"/>
        <v/>
      </c>
      <c r="AB295" s="121" t="str">
        <f>IFERROR(_xlfn.XLOOKUP($A295,Input_Raw!$A:$A,Input_Raw!$DG:$DG),"")</f>
        <v/>
      </c>
      <c r="AC295" s="141">
        <f>IFERROR(_xlfn.XLOOKUP($D295,'Modelling New'!$D:$D,'Modelling New'!$J:$J),"")</f>
        <v>3.8</v>
      </c>
      <c r="AD295" s="123">
        <f>IFERROR(_xlfn.XLOOKUP($D295,'Modelling New'!$D:$D,'Modelling New'!$T:$T)*1000,"")</f>
        <v>128093.39599615177</v>
      </c>
      <c r="AE295" s="140"/>
      <c r="AF295" s="140">
        <f>IFERROR(_xlfn.XLOOKUP($D295,'Modelling New'!$D:$D,'Modelling New'!$W:$W),"")</f>
        <v>6.8425959399653721E-2</v>
      </c>
      <c r="AG295" s="140">
        <f>IFERROR(_xlfn.XLOOKUP($D295,'Modelling New'!$D:$D,'Modelling New'!$AE:$AE),"")</f>
        <v>0.96029999999999993</v>
      </c>
      <c r="AH295" s="140">
        <f>IFERROR(_xlfn.XLOOKUP($D295,'Modelling New'!$D:$D,'Modelling New'!$AF:$AF),"")</f>
        <v>0.995</v>
      </c>
      <c r="AI295" s="121" t="str">
        <f>IFERROR(_xlfn.XLOOKUP($A295,Input_Raw!$A:$A,Input_Raw!$DE:$DE),"")</f>
        <v/>
      </c>
      <c r="AJ295" s="121"/>
      <c r="AK295" s="121"/>
      <c r="AL295" s="121"/>
      <c r="AM295" s="121"/>
      <c r="AN295" s="142" t="str">
        <f>IFERROR(_xlfn.XLOOKUP($A295,Input_Raw!$A:$A,Input_Raw!$DB:$DB),"")</f>
        <v/>
      </c>
      <c r="AO295" s="140" t="str">
        <f>IFERROR((_xlfn.XLOOKUP($A295,'WTG Reactive Power'!$A:$A,'WTG Reactive Power'!$AR:$AR))/X295/1000,"")</f>
        <v/>
      </c>
      <c r="AP295" s="140">
        <f>IFERROR(_xlfn.XLOOKUP($D295,'Modelling New'!$D:$D,'Modelling New'!$AK:$AK),"")</f>
        <v>0.05</v>
      </c>
      <c r="AQ295" s="140">
        <f>IFERROR(_xlfn.XLOOKUP($D295,'Modelling New'!$D:$D,'Modelling New'!$AL:$AL),"")</f>
        <v>0.05</v>
      </c>
      <c r="AR295">
        <f>IFERROR(_xlfn.XLOOKUP($D295,'Modelling New'!$D:$D,'Modelling New'!$N:$N),"")</f>
        <v>78</v>
      </c>
    </row>
    <row r="296" spans="1:44">
      <c r="A296" s="134">
        <f t="shared" si="32"/>
        <v>46039</v>
      </c>
      <c r="B296" s="123">
        <f>YEAR(Table13[[#This Row],[Date]])+IF(MONTH(Table13[[#This Row],[Date]])&gt;=4,1,0)</f>
        <v>2026</v>
      </c>
      <c r="C296" s="121">
        <f>YEAR(Table13[[#This Row],[Date]])</f>
        <v>2026</v>
      </c>
      <c r="D296" s="135">
        <f>Table13[[#This Row],[Date]]-DAY(Table13[[#This Row],[Date]])+1</f>
        <v>46023</v>
      </c>
      <c r="E296" s="121">
        <f t="shared" si="29"/>
        <v>31</v>
      </c>
      <c r="F296" s="124"/>
      <c r="G296" s="125"/>
      <c r="H296" s="125"/>
      <c r="I296" s="125"/>
      <c r="J296" s="125"/>
      <c r="K296" s="136"/>
      <c r="L296" s="125"/>
      <c r="M296" s="125" t="str">
        <f>IFERROR(_xlfn.XLOOKUP($A296,Input_Raw!$A:$A,Input_Raw!CG:CG),"")</f>
        <v/>
      </c>
      <c r="N296" s="125" t="str">
        <f>IFERROR(_xlfn.XLOOKUP($A296,Input_Raw!$A:$A,Input_Raw!CH:CH),"")</f>
        <v/>
      </c>
      <c r="O296" s="137" t="str">
        <f t="shared" si="30"/>
        <v/>
      </c>
      <c r="P296" s="137" t="str">
        <f>IFERROR(1-SUMIF(WTG_BD!$F:$F,$A296,WTG_BD!$AA:$AA)/($AA296+SUMIF(WTG_BD!$F:$F,$A296,WTG_BD!$AA:$AA)),"")</f>
        <v/>
      </c>
      <c r="Q296" s="138" t="str">
        <f>IFERROR(1-SUMIF(IGA_BD!$F:$F,$A296,IGA_BD!$V:$V)/($AA296+SUMIF(IGA_BD!$F:$F,$A296,IGA_BD!$V:$V)),"")</f>
        <v/>
      </c>
      <c r="R296" s="143" t="str">
        <f>IFERROR(1-SUMIF(Grid_BD!$F:$F,$A296,Grid_BD!$X:$X)/($AA296+SUMIF(Grid_BD!$F:$F,$A296,Grid_BD!$X:$X)),"")</f>
        <v/>
      </c>
      <c r="S296" s="121"/>
      <c r="T296" s="138"/>
      <c r="U296" s="139"/>
      <c r="V296" s="121"/>
      <c r="W296" s="140" t="str">
        <f>IFERROR(Table13[[#This Row],[Mtr_Net_Exp (KWh)]]/(24*AR296*1000),"")</f>
        <v/>
      </c>
      <c r="X296" s="121" t="str">
        <f>IFERROR(_xlfn.XLOOKUP($A296,Input_Raw!$A:$A,Input_Raw!$CF:$CF),"")</f>
        <v/>
      </c>
      <c r="Y296" s="121" t="str">
        <f>IFERROR(_xlfn.XLOOKUP($A296,Input_Raw!$A:$A,Input_Raw!$CZ:$CZ),"")</f>
        <v/>
      </c>
      <c r="Z296" s="121" t="str">
        <f>IFERROR(_xlfn.XLOOKUP($A296,Input_Raw!$A:$A,Input_Raw!$DA:$DA),"")</f>
        <v/>
      </c>
      <c r="AA296" s="123" t="str">
        <f t="shared" si="31"/>
        <v/>
      </c>
      <c r="AB296" s="121" t="str">
        <f>IFERROR(_xlfn.XLOOKUP($A296,Input_Raw!$A:$A,Input_Raw!$DG:$DG),"")</f>
        <v/>
      </c>
      <c r="AC296" s="141">
        <f>IFERROR(_xlfn.XLOOKUP($D296,'Modelling New'!$D:$D,'Modelling New'!$J:$J),"")</f>
        <v>3.8</v>
      </c>
      <c r="AD296" s="123">
        <f>IFERROR(_xlfn.XLOOKUP($D296,'Modelling New'!$D:$D,'Modelling New'!$T:$T)*1000,"")</f>
        <v>128093.39599615177</v>
      </c>
      <c r="AE296" s="140"/>
      <c r="AF296" s="140">
        <f>IFERROR(_xlfn.XLOOKUP($D296,'Modelling New'!$D:$D,'Modelling New'!$W:$W),"")</f>
        <v>6.8425959399653721E-2</v>
      </c>
      <c r="AG296" s="140">
        <f>IFERROR(_xlfn.XLOOKUP($D296,'Modelling New'!$D:$D,'Modelling New'!$AE:$AE),"")</f>
        <v>0.96029999999999993</v>
      </c>
      <c r="AH296" s="140">
        <f>IFERROR(_xlfn.XLOOKUP($D296,'Modelling New'!$D:$D,'Modelling New'!$AF:$AF),"")</f>
        <v>0.995</v>
      </c>
      <c r="AI296" s="121" t="str">
        <f>IFERROR(_xlfn.XLOOKUP($A296,Input_Raw!$A:$A,Input_Raw!$DE:$DE),"")</f>
        <v/>
      </c>
      <c r="AJ296" s="121"/>
      <c r="AK296" s="121"/>
      <c r="AL296" s="121"/>
      <c r="AM296" s="121"/>
      <c r="AN296" s="142" t="str">
        <f>IFERROR(_xlfn.XLOOKUP($A296,Input_Raw!$A:$A,Input_Raw!$DB:$DB),"")</f>
        <v/>
      </c>
      <c r="AO296" s="140" t="str">
        <f>IFERROR((_xlfn.XLOOKUP($A296,'WTG Reactive Power'!$A:$A,'WTG Reactive Power'!$AR:$AR))/X296/1000,"")</f>
        <v/>
      </c>
      <c r="AP296" s="140">
        <f>IFERROR(_xlfn.XLOOKUP($D296,'Modelling New'!$D:$D,'Modelling New'!$AK:$AK),"")</f>
        <v>0.05</v>
      </c>
      <c r="AQ296" s="140">
        <f>IFERROR(_xlfn.XLOOKUP($D296,'Modelling New'!$D:$D,'Modelling New'!$AL:$AL),"")</f>
        <v>0.05</v>
      </c>
      <c r="AR296">
        <f>IFERROR(_xlfn.XLOOKUP($D296,'Modelling New'!$D:$D,'Modelling New'!$N:$N),"")</f>
        <v>78</v>
      </c>
    </row>
    <row r="297" spans="1:44">
      <c r="A297" s="134">
        <f t="shared" si="32"/>
        <v>46040</v>
      </c>
      <c r="B297" s="123">
        <f>YEAR(Table13[[#This Row],[Date]])+IF(MONTH(Table13[[#This Row],[Date]])&gt;=4,1,0)</f>
        <v>2026</v>
      </c>
      <c r="C297" s="121">
        <f>YEAR(Table13[[#This Row],[Date]])</f>
        <v>2026</v>
      </c>
      <c r="D297" s="135">
        <f>Table13[[#This Row],[Date]]-DAY(Table13[[#This Row],[Date]])+1</f>
        <v>46023</v>
      </c>
      <c r="E297" s="121">
        <f t="shared" si="29"/>
        <v>31</v>
      </c>
      <c r="F297" s="124"/>
      <c r="G297" s="125"/>
      <c r="H297" s="125"/>
      <c r="I297" s="125"/>
      <c r="J297" s="125"/>
      <c r="K297" s="136"/>
      <c r="L297" s="125"/>
      <c r="M297" s="125" t="str">
        <f>IFERROR(_xlfn.XLOOKUP($A297,Input_Raw!$A:$A,Input_Raw!CG:CG),"")</f>
        <v/>
      </c>
      <c r="N297" s="125" t="str">
        <f>IFERROR(_xlfn.XLOOKUP($A297,Input_Raw!$A:$A,Input_Raw!CH:CH),"")</f>
        <v/>
      </c>
      <c r="O297" s="137" t="str">
        <f t="shared" si="30"/>
        <v/>
      </c>
      <c r="P297" s="137" t="str">
        <f>IFERROR(1-SUMIF(WTG_BD!$F:$F,$A297,WTG_BD!$AA:$AA)/($AA297+SUMIF(WTG_BD!$F:$F,$A297,WTG_BD!$AA:$AA)),"")</f>
        <v/>
      </c>
      <c r="Q297" s="138" t="str">
        <f>IFERROR(1-SUMIF(IGA_BD!$F:$F,$A297,IGA_BD!$V:$V)/($AA297+SUMIF(IGA_BD!$F:$F,$A297,IGA_BD!$V:$V)),"")</f>
        <v/>
      </c>
      <c r="R297" s="143" t="str">
        <f>IFERROR(1-SUMIF(Grid_BD!$F:$F,$A297,Grid_BD!$X:$X)/($AA297+SUMIF(Grid_BD!$F:$F,$A297,Grid_BD!$X:$X)),"")</f>
        <v/>
      </c>
      <c r="S297" s="121"/>
      <c r="T297" s="138"/>
      <c r="U297" s="139"/>
      <c r="V297" s="121"/>
      <c r="W297" s="140" t="str">
        <f>IFERROR(Table13[[#This Row],[Mtr_Net_Exp (KWh)]]/(24*AR297*1000),"")</f>
        <v/>
      </c>
      <c r="X297" s="121" t="str">
        <f>IFERROR(_xlfn.XLOOKUP($A297,Input_Raw!$A:$A,Input_Raw!$CF:$CF),"")</f>
        <v/>
      </c>
      <c r="Y297" s="121" t="str">
        <f>IFERROR(_xlfn.XLOOKUP($A297,Input_Raw!$A:$A,Input_Raw!$CZ:$CZ),"")</f>
        <v/>
      </c>
      <c r="Z297" s="121" t="str">
        <f>IFERROR(_xlfn.XLOOKUP($A297,Input_Raw!$A:$A,Input_Raw!$DA:$DA),"")</f>
        <v/>
      </c>
      <c r="AA297" s="123" t="str">
        <f t="shared" si="31"/>
        <v/>
      </c>
      <c r="AB297" s="121" t="str">
        <f>IFERROR(_xlfn.XLOOKUP($A297,Input_Raw!$A:$A,Input_Raw!$DG:$DG),"")</f>
        <v/>
      </c>
      <c r="AC297" s="141">
        <f>IFERROR(_xlfn.XLOOKUP($D297,'Modelling New'!$D:$D,'Modelling New'!$J:$J),"")</f>
        <v>3.8</v>
      </c>
      <c r="AD297" s="123">
        <f>IFERROR(_xlfn.XLOOKUP($D297,'Modelling New'!$D:$D,'Modelling New'!$T:$T)*1000,"")</f>
        <v>128093.39599615177</v>
      </c>
      <c r="AE297" s="140"/>
      <c r="AF297" s="140">
        <f>IFERROR(_xlfn.XLOOKUP($D297,'Modelling New'!$D:$D,'Modelling New'!$W:$W),"")</f>
        <v>6.8425959399653721E-2</v>
      </c>
      <c r="AG297" s="140">
        <f>IFERROR(_xlfn.XLOOKUP($D297,'Modelling New'!$D:$D,'Modelling New'!$AE:$AE),"")</f>
        <v>0.96029999999999993</v>
      </c>
      <c r="AH297" s="140">
        <f>IFERROR(_xlfn.XLOOKUP($D297,'Modelling New'!$D:$D,'Modelling New'!$AF:$AF),"")</f>
        <v>0.995</v>
      </c>
      <c r="AI297" s="121" t="str">
        <f>IFERROR(_xlfn.XLOOKUP($A297,Input_Raw!$A:$A,Input_Raw!$DE:$DE),"")</f>
        <v/>
      </c>
      <c r="AJ297" s="121"/>
      <c r="AK297" s="121"/>
      <c r="AL297" s="121"/>
      <c r="AM297" s="121"/>
      <c r="AN297" s="142" t="str">
        <f>IFERROR(_xlfn.XLOOKUP($A297,Input_Raw!$A:$A,Input_Raw!$DB:$DB),"")</f>
        <v/>
      </c>
      <c r="AO297" s="140" t="str">
        <f>IFERROR((_xlfn.XLOOKUP($A297,'WTG Reactive Power'!$A:$A,'WTG Reactive Power'!$AR:$AR))/X297/1000,"")</f>
        <v/>
      </c>
      <c r="AP297" s="140">
        <f>IFERROR(_xlfn.XLOOKUP($D297,'Modelling New'!$D:$D,'Modelling New'!$AK:$AK),"")</f>
        <v>0.05</v>
      </c>
      <c r="AQ297" s="140">
        <f>IFERROR(_xlfn.XLOOKUP($D297,'Modelling New'!$D:$D,'Modelling New'!$AL:$AL),"")</f>
        <v>0.05</v>
      </c>
      <c r="AR297">
        <f>IFERROR(_xlfn.XLOOKUP($D297,'Modelling New'!$D:$D,'Modelling New'!$N:$N),"")</f>
        <v>78</v>
      </c>
    </row>
    <row r="298" spans="1:44">
      <c r="A298" s="134">
        <f t="shared" si="32"/>
        <v>46041</v>
      </c>
      <c r="B298" s="123">
        <f>YEAR(Table13[[#This Row],[Date]])+IF(MONTH(Table13[[#This Row],[Date]])&gt;=4,1,0)</f>
        <v>2026</v>
      </c>
      <c r="C298" s="121">
        <f>YEAR(Table13[[#This Row],[Date]])</f>
        <v>2026</v>
      </c>
      <c r="D298" s="135">
        <f>Table13[[#This Row],[Date]]-DAY(Table13[[#This Row],[Date]])+1</f>
        <v>46023</v>
      </c>
      <c r="E298" s="121">
        <f t="shared" si="29"/>
        <v>31</v>
      </c>
      <c r="F298" s="124"/>
      <c r="G298" s="125"/>
      <c r="H298" s="125"/>
      <c r="I298" s="125"/>
      <c r="J298" s="125"/>
      <c r="K298" s="136"/>
      <c r="L298" s="125"/>
      <c r="M298" s="125" t="str">
        <f>IFERROR(_xlfn.XLOOKUP($A298,Input_Raw!$A:$A,Input_Raw!CG:CG),"")</f>
        <v/>
      </c>
      <c r="N298" s="125" t="str">
        <f>IFERROR(_xlfn.XLOOKUP($A298,Input_Raw!$A:$A,Input_Raw!CH:CH),"")</f>
        <v/>
      </c>
      <c r="O298" s="137" t="str">
        <f t="shared" si="30"/>
        <v/>
      </c>
      <c r="P298" s="137" t="str">
        <f>IFERROR(1-SUMIF(WTG_BD!$F:$F,$A298,WTG_BD!$AA:$AA)/($AA298+SUMIF(WTG_BD!$F:$F,$A298,WTG_BD!$AA:$AA)),"")</f>
        <v/>
      </c>
      <c r="Q298" s="138" t="str">
        <f>IFERROR(1-SUMIF(IGA_BD!$F:$F,$A298,IGA_BD!$V:$V)/($AA298+SUMIF(IGA_BD!$F:$F,$A298,IGA_BD!$V:$V)),"")</f>
        <v/>
      </c>
      <c r="R298" s="143" t="str">
        <f>IFERROR(1-SUMIF(Grid_BD!$F:$F,$A298,Grid_BD!$X:$X)/($AA298+SUMIF(Grid_BD!$F:$F,$A298,Grid_BD!$X:$X)),"")</f>
        <v/>
      </c>
      <c r="S298" s="121"/>
      <c r="T298" s="138"/>
      <c r="U298" s="139"/>
      <c r="V298" s="121"/>
      <c r="W298" s="140" t="str">
        <f>IFERROR(Table13[[#This Row],[Mtr_Net_Exp (KWh)]]/(24*AR298*1000),"")</f>
        <v/>
      </c>
      <c r="X298" s="121" t="str">
        <f>IFERROR(_xlfn.XLOOKUP($A298,Input_Raw!$A:$A,Input_Raw!$CF:$CF),"")</f>
        <v/>
      </c>
      <c r="Y298" s="121" t="str">
        <f>IFERROR(_xlfn.XLOOKUP($A298,Input_Raw!$A:$A,Input_Raw!$CZ:$CZ),"")</f>
        <v/>
      </c>
      <c r="Z298" s="121" t="str">
        <f>IFERROR(_xlfn.XLOOKUP($A298,Input_Raw!$A:$A,Input_Raw!$DA:$DA),"")</f>
        <v/>
      </c>
      <c r="AA298" s="123" t="str">
        <f t="shared" si="31"/>
        <v/>
      </c>
      <c r="AB298" s="121" t="str">
        <f>IFERROR(_xlfn.XLOOKUP($A298,Input_Raw!$A:$A,Input_Raw!$DG:$DG),"")</f>
        <v/>
      </c>
      <c r="AC298" s="141">
        <f>IFERROR(_xlfn.XLOOKUP($D298,'Modelling New'!$D:$D,'Modelling New'!$J:$J),"")</f>
        <v>3.8</v>
      </c>
      <c r="AD298" s="123">
        <f>IFERROR(_xlfn.XLOOKUP($D298,'Modelling New'!$D:$D,'Modelling New'!$T:$T)*1000,"")</f>
        <v>128093.39599615177</v>
      </c>
      <c r="AE298" s="140"/>
      <c r="AF298" s="140">
        <f>IFERROR(_xlfn.XLOOKUP($D298,'Modelling New'!$D:$D,'Modelling New'!$W:$W),"")</f>
        <v>6.8425959399653721E-2</v>
      </c>
      <c r="AG298" s="140">
        <f>IFERROR(_xlfn.XLOOKUP($D298,'Modelling New'!$D:$D,'Modelling New'!$AE:$AE),"")</f>
        <v>0.96029999999999993</v>
      </c>
      <c r="AH298" s="140">
        <f>IFERROR(_xlfn.XLOOKUP($D298,'Modelling New'!$D:$D,'Modelling New'!$AF:$AF),"")</f>
        <v>0.995</v>
      </c>
      <c r="AI298" s="121" t="str">
        <f>IFERROR(_xlfn.XLOOKUP($A298,Input_Raw!$A:$A,Input_Raw!$DE:$DE),"")</f>
        <v/>
      </c>
      <c r="AJ298" s="121"/>
      <c r="AK298" s="121"/>
      <c r="AL298" s="121"/>
      <c r="AM298" s="121"/>
      <c r="AN298" s="142" t="str">
        <f>IFERROR(_xlfn.XLOOKUP($A298,Input_Raw!$A:$A,Input_Raw!$DB:$DB),"")</f>
        <v/>
      </c>
      <c r="AO298" s="140" t="str">
        <f>IFERROR((_xlfn.XLOOKUP($A298,'WTG Reactive Power'!$A:$A,'WTG Reactive Power'!$AR:$AR))/X298/1000,"")</f>
        <v/>
      </c>
      <c r="AP298" s="140">
        <f>IFERROR(_xlfn.XLOOKUP($D298,'Modelling New'!$D:$D,'Modelling New'!$AK:$AK),"")</f>
        <v>0.05</v>
      </c>
      <c r="AQ298" s="140">
        <f>IFERROR(_xlfn.XLOOKUP($D298,'Modelling New'!$D:$D,'Modelling New'!$AL:$AL),"")</f>
        <v>0.05</v>
      </c>
      <c r="AR298">
        <f>IFERROR(_xlfn.XLOOKUP($D298,'Modelling New'!$D:$D,'Modelling New'!$N:$N),"")</f>
        <v>78</v>
      </c>
    </row>
    <row r="299" spans="1:44">
      <c r="A299" s="134">
        <f t="shared" si="32"/>
        <v>46042</v>
      </c>
      <c r="B299" s="123">
        <f>YEAR(Table13[[#This Row],[Date]])+IF(MONTH(Table13[[#This Row],[Date]])&gt;=4,1,0)</f>
        <v>2026</v>
      </c>
      <c r="C299" s="121">
        <f>YEAR(Table13[[#This Row],[Date]])</f>
        <v>2026</v>
      </c>
      <c r="D299" s="135">
        <f>Table13[[#This Row],[Date]]-DAY(Table13[[#This Row],[Date]])+1</f>
        <v>46023</v>
      </c>
      <c r="E299" s="121">
        <f t="shared" si="29"/>
        <v>31</v>
      </c>
      <c r="F299" s="124"/>
      <c r="G299" s="125"/>
      <c r="H299" s="125"/>
      <c r="I299" s="125"/>
      <c r="J299" s="125"/>
      <c r="K299" s="136"/>
      <c r="L299" s="125"/>
      <c r="M299" s="125" t="str">
        <f>IFERROR(_xlfn.XLOOKUP($A299,Input_Raw!$A:$A,Input_Raw!CG:CG),"")</f>
        <v/>
      </c>
      <c r="N299" s="125" t="str">
        <f>IFERROR(_xlfn.XLOOKUP($A299,Input_Raw!$A:$A,Input_Raw!CH:CH),"")</f>
        <v/>
      </c>
      <c r="O299" s="137" t="str">
        <f t="shared" si="30"/>
        <v/>
      </c>
      <c r="P299" s="137" t="str">
        <f>IFERROR(1-SUMIF(WTG_BD!$F:$F,$A299,WTG_BD!$AA:$AA)/($AA299+SUMIF(WTG_BD!$F:$F,$A299,WTG_BD!$AA:$AA)),"")</f>
        <v/>
      </c>
      <c r="Q299" s="138" t="str">
        <f>IFERROR(1-SUMIF(IGA_BD!$F:$F,$A299,IGA_BD!$V:$V)/($AA299+SUMIF(IGA_BD!$F:$F,$A299,IGA_BD!$V:$V)),"")</f>
        <v/>
      </c>
      <c r="R299" s="143" t="str">
        <f>IFERROR(1-SUMIF(Grid_BD!$F:$F,$A299,Grid_BD!$X:$X)/($AA299+SUMIF(Grid_BD!$F:$F,$A299,Grid_BD!$X:$X)),"")</f>
        <v/>
      </c>
      <c r="S299" s="121"/>
      <c r="T299" s="138"/>
      <c r="U299" s="139"/>
      <c r="V299" s="121"/>
      <c r="W299" s="140" t="str">
        <f>IFERROR(Table13[[#This Row],[Mtr_Net_Exp (KWh)]]/(24*AR299*1000),"")</f>
        <v/>
      </c>
      <c r="X299" s="121" t="str">
        <f>IFERROR(_xlfn.XLOOKUP($A299,Input_Raw!$A:$A,Input_Raw!$CF:$CF),"")</f>
        <v/>
      </c>
      <c r="Y299" s="121" t="str">
        <f>IFERROR(_xlfn.XLOOKUP($A299,Input_Raw!$A:$A,Input_Raw!$CZ:$CZ),"")</f>
        <v/>
      </c>
      <c r="Z299" s="121" t="str">
        <f>IFERROR(_xlfn.XLOOKUP($A299,Input_Raw!$A:$A,Input_Raw!$DA:$DA),"")</f>
        <v/>
      </c>
      <c r="AA299" s="123" t="str">
        <f t="shared" si="31"/>
        <v/>
      </c>
      <c r="AB299" s="121" t="str">
        <f>IFERROR(_xlfn.XLOOKUP($A299,Input_Raw!$A:$A,Input_Raw!$DG:$DG),"")</f>
        <v/>
      </c>
      <c r="AC299" s="141">
        <f>IFERROR(_xlfn.XLOOKUP($D299,'Modelling New'!$D:$D,'Modelling New'!$J:$J),"")</f>
        <v>3.8</v>
      </c>
      <c r="AD299" s="123">
        <f>IFERROR(_xlfn.XLOOKUP($D299,'Modelling New'!$D:$D,'Modelling New'!$T:$T)*1000,"")</f>
        <v>128093.39599615177</v>
      </c>
      <c r="AE299" s="140"/>
      <c r="AF299" s="140">
        <f>IFERROR(_xlfn.XLOOKUP($D299,'Modelling New'!$D:$D,'Modelling New'!$W:$W),"")</f>
        <v>6.8425959399653721E-2</v>
      </c>
      <c r="AG299" s="140">
        <f>IFERROR(_xlfn.XLOOKUP($D299,'Modelling New'!$D:$D,'Modelling New'!$AE:$AE),"")</f>
        <v>0.96029999999999993</v>
      </c>
      <c r="AH299" s="140">
        <f>IFERROR(_xlfn.XLOOKUP($D299,'Modelling New'!$D:$D,'Modelling New'!$AF:$AF),"")</f>
        <v>0.995</v>
      </c>
      <c r="AI299" s="121" t="str">
        <f>IFERROR(_xlfn.XLOOKUP($A299,Input_Raw!$A:$A,Input_Raw!$DE:$DE),"")</f>
        <v/>
      </c>
      <c r="AJ299" s="121"/>
      <c r="AK299" s="121"/>
      <c r="AL299" s="121"/>
      <c r="AM299" s="121"/>
      <c r="AN299" s="142" t="str">
        <f>IFERROR(_xlfn.XLOOKUP($A299,Input_Raw!$A:$A,Input_Raw!$DB:$DB),"")</f>
        <v/>
      </c>
      <c r="AO299" s="140" t="str">
        <f>IFERROR((_xlfn.XLOOKUP($A299,'WTG Reactive Power'!$A:$A,'WTG Reactive Power'!$AR:$AR))/X299/1000,"")</f>
        <v/>
      </c>
      <c r="AP299" s="140">
        <f>IFERROR(_xlfn.XLOOKUP($D299,'Modelling New'!$D:$D,'Modelling New'!$AK:$AK),"")</f>
        <v>0.05</v>
      </c>
      <c r="AQ299" s="140">
        <f>IFERROR(_xlfn.XLOOKUP($D299,'Modelling New'!$D:$D,'Modelling New'!$AL:$AL),"")</f>
        <v>0.05</v>
      </c>
      <c r="AR299">
        <f>IFERROR(_xlfn.XLOOKUP($D299,'Modelling New'!$D:$D,'Modelling New'!$N:$N),"")</f>
        <v>78</v>
      </c>
    </row>
    <row r="300" spans="1:44">
      <c r="A300" s="134">
        <f t="shared" si="32"/>
        <v>46043</v>
      </c>
      <c r="B300" s="123">
        <f>YEAR(Table13[[#This Row],[Date]])+IF(MONTH(Table13[[#This Row],[Date]])&gt;=4,1,0)</f>
        <v>2026</v>
      </c>
      <c r="C300" s="121">
        <f>YEAR(Table13[[#This Row],[Date]])</f>
        <v>2026</v>
      </c>
      <c r="D300" s="135">
        <f>Table13[[#This Row],[Date]]-DAY(Table13[[#This Row],[Date]])+1</f>
        <v>46023</v>
      </c>
      <c r="E300" s="121">
        <f t="shared" si="29"/>
        <v>31</v>
      </c>
      <c r="F300" s="124"/>
      <c r="G300" s="125"/>
      <c r="H300" s="125"/>
      <c r="I300" s="125"/>
      <c r="J300" s="125"/>
      <c r="K300" s="136"/>
      <c r="L300" s="125"/>
      <c r="M300" s="125" t="str">
        <f>IFERROR(_xlfn.XLOOKUP($A300,Input_Raw!$A:$A,Input_Raw!CG:CG),"")</f>
        <v/>
      </c>
      <c r="N300" s="125" t="str">
        <f>IFERROR(_xlfn.XLOOKUP($A300,Input_Raw!$A:$A,Input_Raw!CH:CH),"")</f>
        <v/>
      </c>
      <c r="O300" s="137" t="str">
        <f t="shared" si="30"/>
        <v/>
      </c>
      <c r="P300" s="137" t="str">
        <f>IFERROR(1-SUMIF(WTG_BD!$F:$F,$A300,WTG_BD!$AA:$AA)/($AA300+SUMIF(WTG_BD!$F:$F,$A300,WTG_BD!$AA:$AA)),"")</f>
        <v/>
      </c>
      <c r="Q300" s="138" t="str">
        <f>IFERROR(1-SUMIF(IGA_BD!$F:$F,$A300,IGA_BD!$V:$V)/($AA300+SUMIF(IGA_BD!$F:$F,$A300,IGA_BD!$V:$V)),"")</f>
        <v/>
      </c>
      <c r="R300" s="143" t="str">
        <f>IFERROR(1-SUMIF(Grid_BD!$F:$F,$A300,Grid_BD!$X:$X)/($AA300+SUMIF(Grid_BD!$F:$F,$A300,Grid_BD!$X:$X)),"")</f>
        <v/>
      </c>
      <c r="S300" s="121"/>
      <c r="T300" s="138"/>
      <c r="U300" s="139"/>
      <c r="V300" s="121"/>
      <c r="W300" s="140" t="str">
        <f>IFERROR(Table13[[#This Row],[Mtr_Net_Exp (KWh)]]/(24*AR300*1000),"")</f>
        <v/>
      </c>
      <c r="X300" s="121" t="str">
        <f>IFERROR(_xlfn.XLOOKUP($A300,Input_Raw!$A:$A,Input_Raw!$CF:$CF),"")</f>
        <v/>
      </c>
      <c r="Y300" s="121" t="str">
        <f>IFERROR(_xlfn.XLOOKUP($A300,Input_Raw!$A:$A,Input_Raw!$CZ:$CZ),"")</f>
        <v/>
      </c>
      <c r="Z300" s="121" t="str">
        <f>IFERROR(_xlfn.XLOOKUP($A300,Input_Raw!$A:$A,Input_Raw!$DA:$DA),"")</f>
        <v/>
      </c>
      <c r="AA300" s="123" t="str">
        <f t="shared" si="31"/>
        <v/>
      </c>
      <c r="AB300" s="121" t="str">
        <f>IFERROR(_xlfn.XLOOKUP($A300,Input_Raw!$A:$A,Input_Raw!$DG:$DG),"")</f>
        <v/>
      </c>
      <c r="AC300" s="141">
        <f>IFERROR(_xlfn.XLOOKUP($D300,'Modelling New'!$D:$D,'Modelling New'!$J:$J),"")</f>
        <v>3.8</v>
      </c>
      <c r="AD300" s="123">
        <f>IFERROR(_xlfn.XLOOKUP($D300,'Modelling New'!$D:$D,'Modelling New'!$T:$T)*1000,"")</f>
        <v>128093.39599615177</v>
      </c>
      <c r="AE300" s="140"/>
      <c r="AF300" s="140">
        <f>IFERROR(_xlfn.XLOOKUP($D300,'Modelling New'!$D:$D,'Modelling New'!$W:$W),"")</f>
        <v>6.8425959399653721E-2</v>
      </c>
      <c r="AG300" s="140">
        <f>IFERROR(_xlfn.XLOOKUP($D300,'Modelling New'!$D:$D,'Modelling New'!$AE:$AE),"")</f>
        <v>0.96029999999999993</v>
      </c>
      <c r="AH300" s="140">
        <f>IFERROR(_xlfn.XLOOKUP($D300,'Modelling New'!$D:$D,'Modelling New'!$AF:$AF),"")</f>
        <v>0.995</v>
      </c>
      <c r="AI300" s="121" t="str">
        <f>IFERROR(_xlfn.XLOOKUP($A300,Input_Raw!$A:$A,Input_Raw!$DE:$DE),"")</f>
        <v/>
      </c>
      <c r="AJ300" s="121"/>
      <c r="AK300" s="121"/>
      <c r="AL300" s="121"/>
      <c r="AM300" s="121"/>
      <c r="AN300" s="142" t="str">
        <f>IFERROR(_xlfn.XLOOKUP($A300,Input_Raw!$A:$A,Input_Raw!$DB:$DB),"")</f>
        <v/>
      </c>
      <c r="AO300" s="140" t="str">
        <f>IFERROR((_xlfn.XLOOKUP($A300,'WTG Reactive Power'!$A:$A,'WTG Reactive Power'!$AR:$AR))/X300/1000,"")</f>
        <v/>
      </c>
      <c r="AP300" s="140">
        <f>IFERROR(_xlfn.XLOOKUP($D300,'Modelling New'!$D:$D,'Modelling New'!$AK:$AK),"")</f>
        <v>0.05</v>
      </c>
      <c r="AQ300" s="140">
        <f>IFERROR(_xlfn.XLOOKUP($D300,'Modelling New'!$D:$D,'Modelling New'!$AL:$AL),"")</f>
        <v>0.05</v>
      </c>
      <c r="AR300">
        <f>IFERROR(_xlfn.XLOOKUP($D300,'Modelling New'!$D:$D,'Modelling New'!$N:$N),"")</f>
        <v>78</v>
      </c>
    </row>
    <row r="301" spans="1:44">
      <c r="A301" s="134">
        <f t="shared" si="32"/>
        <v>46044</v>
      </c>
      <c r="B301" s="123">
        <f>YEAR(Table13[[#This Row],[Date]])+IF(MONTH(Table13[[#This Row],[Date]])&gt;=4,1,0)</f>
        <v>2026</v>
      </c>
      <c r="C301" s="121">
        <f>YEAR(Table13[[#This Row],[Date]])</f>
        <v>2026</v>
      </c>
      <c r="D301" s="135">
        <f>Table13[[#This Row],[Date]]-DAY(Table13[[#This Row],[Date]])+1</f>
        <v>46023</v>
      </c>
      <c r="E301" s="121">
        <f t="shared" si="29"/>
        <v>31</v>
      </c>
      <c r="F301" s="124"/>
      <c r="G301" s="125"/>
      <c r="H301" s="125"/>
      <c r="I301" s="125"/>
      <c r="J301" s="125"/>
      <c r="K301" s="136"/>
      <c r="L301" s="125"/>
      <c r="M301" s="125" t="str">
        <f>IFERROR(_xlfn.XLOOKUP($A301,Input_Raw!$A:$A,Input_Raw!CG:CG),"")</f>
        <v/>
      </c>
      <c r="N301" s="125" t="str">
        <f>IFERROR(_xlfn.XLOOKUP($A301,Input_Raw!$A:$A,Input_Raw!CH:CH),"")</f>
        <v/>
      </c>
      <c r="O301" s="137" t="str">
        <f t="shared" si="30"/>
        <v/>
      </c>
      <c r="P301" s="137" t="str">
        <f>IFERROR(1-SUMIF(WTG_BD!$F:$F,$A301,WTG_BD!$AA:$AA)/($AA301+SUMIF(WTG_BD!$F:$F,$A301,WTG_BD!$AA:$AA)),"")</f>
        <v/>
      </c>
      <c r="Q301" s="138" t="str">
        <f>IFERROR(1-SUMIF(IGA_BD!$F:$F,$A301,IGA_BD!$V:$V)/($AA301+SUMIF(IGA_BD!$F:$F,$A301,IGA_BD!$V:$V)),"")</f>
        <v/>
      </c>
      <c r="R301" s="143" t="str">
        <f>IFERROR(1-SUMIF(Grid_BD!$F:$F,$A301,Grid_BD!$X:$X)/($AA301+SUMIF(Grid_BD!$F:$F,$A301,Grid_BD!$X:$X)),"")</f>
        <v/>
      </c>
      <c r="S301" s="121"/>
      <c r="T301" s="138"/>
      <c r="U301" s="139"/>
      <c r="V301" s="121"/>
      <c r="W301" s="140" t="str">
        <f>IFERROR(Table13[[#This Row],[Mtr_Net_Exp (KWh)]]/(24*AR301*1000),"")</f>
        <v/>
      </c>
      <c r="X301" s="121" t="str">
        <f>IFERROR(_xlfn.XLOOKUP($A301,Input_Raw!$A:$A,Input_Raw!$CF:$CF),"")</f>
        <v/>
      </c>
      <c r="Y301" s="121" t="str">
        <f>IFERROR(_xlfn.XLOOKUP($A301,Input_Raw!$A:$A,Input_Raw!$CZ:$CZ),"")</f>
        <v/>
      </c>
      <c r="Z301" s="121" t="str">
        <f>IFERROR(_xlfn.XLOOKUP($A301,Input_Raw!$A:$A,Input_Raw!$DA:$DA),"")</f>
        <v/>
      </c>
      <c r="AA301" s="123" t="str">
        <f t="shared" si="31"/>
        <v/>
      </c>
      <c r="AB301" s="121" t="str">
        <f>IFERROR(_xlfn.XLOOKUP($A301,Input_Raw!$A:$A,Input_Raw!$DG:$DG),"")</f>
        <v/>
      </c>
      <c r="AC301" s="141">
        <f>IFERROR(_xlfn.XLOOKUP($D301,'Modelling New'!$D:$D,'Modelling New'!$J:$J),"")</f>
        <v>3.8</v>
      </c>
      <c r="AD301" s="123">
        <f>IFERROR(_xlfn.XLOOKUP($D301,'Modelling New'!$D:$D,'Modelling New'!$T:$T)*1000,"")</f>
        <v>128093.39599615177</v>
      </c>
      <c r="AE301" s="140"/>
      <c r="AF301" s="140">
        <f>IFERROR(_xlfn.XLOOKUP($D301,'Modelling New'!$D:$D,'Modelling New'!$W:$W),"")</f>
        <v>6.8425959399653721E-2</v>
      </c>
      <c r="AG301" s="140">
        <f>IFERROR(_xlfn.XLOOKUP($D301,'Modelling New'!$D:$D,'Modelling New'!$AE:$AE),"")</f>
        <v>0.96029999999999993</v>
      </c>
      <c r="AH301" s="140">
        <f>IFERROR(_xlfn.XLOOKUP($D301,'Modelling New'!$D:$D,'Modelling New'!$AF:$AF),"")</f>
        <v>0.995</v>
      </c>
      <c r="AI301" s="121" t="str">
        <f>IFERROR(_xlfn.XLOOKUP($A301,Input_Raw!$A:$A,Input_Raw!$DE:$DE),"")</f>
        <v/>
      </c>
      <c r="AJ301" s="121"/>
      <c r="AK301" s="121"/>
      <c r="AL301" s="121"/>
      <c r="AM301" s="121"/>
      <c r="AN301" s="142" t="str">
        <f>IFERROR(_xlfn.XLOOKUP($A301,Input_Raw!$A:$A,Input_Raw!$DB:$DB),"")</f>
        <v/>
      </c>
      <c r="AO301" s="140" t="str">
        <f>IFERROR((_xlfn.XLOOKUP($A301,'WTG Reactive Power'!$A:$A,'WTG Reactive Power'!$AR:$AR))/X301/1000,"")</f>
        <v/>
      </c>
      <c r="AP301" s="140">
        <f>IFERROR(_xlfn.XLOOKUP($D301,'Modelling New'!$D:$D,'Modelling New'!$AK:$AK),"")</f>
        <v>0.05</v>
      </c>
      <c r="AQ301" s="140">
        <f>IFERROR(_xlfn.XLOOKUP($D301,'Modelling New'!$D:$D,'Modelling New'!$AL:$AL),"")</f>
        <v>0.05</v>
      </c>
      <c r="AR301">
        <f>IFERROR(_xlfn.XLOOKUP($D301,'Modelling New'!$D:$D,'Modelling New'!$N:$N),"")</f>
        <v>78</v>
      </c>
    </row>
    <row r="302" spans="1:44">
      <c r="A302" s="134">
        <f t="shared" si="32"/>
        <v>46045</v>
      </c>
      <c r="B302" s="123">
        <f>YEAR(Table13[[#This Row],[Date]])+IF(MONTH(Table13[[#This Row],[Date]])&gt;=4,1,0)</f>
        <v>2026</v>
      </c>
      <c r="C302" s="121">
        <f>YEAR(Table13[[#This Row],[Date]])</f>
        <v>2026</v>
      </c>
      <c r="D302" s="135">
        <f>Table13[[#This Row],[Date]]-DAY(Table13[[#This Row],[Date]])+1</f>
        <v>46023</v>
      </c>
      <c r="E302" s="121">
        <f t="shared" si="29"/>
        <v>31</v>
      </c>
      <c r="F302" s="124"/>
      <c r="G302" s="125"/>
      <c r="H302" s="125"/>
      <c r="I302" s="125"/>
      <c r="J302" s="125"/>
      <c r="K302" s="136"/>
      <c r="L302" s="125"/>
      <c r="M302" s="125" t="str">
        <f>IFERROR(_xlfn.XLOOKUP($A302,Input_Raw!$A:$A,Input_Raw!CG:CG),"")</f>
        <v/>
      </c>
      <c r="N302" s="125" t="str">
        <f>IFERROR(_xlfn.XLOOKUP($A302,Input_Raw!$A:$A,Input_Raw!CH:CH),"")</f>
        <v/>
      </c>
      <c r="O302" s="137" t="str">
        <f t="shared" si="30"/>
        <v/>
      </c>
      <c r="P302" s="137" t="str">
        <f>IFERROR(1-SUMIF(WTG_BD!$F:$F,$A302,WTG_BD!$AA:$AA)/($AA302+SUMIF(WTG_BD!$F:$F,$A302,WTG_BD!$AA:$AA)),"")</f>
        <v/>
      </c>
      <c r="Q302" s="138" t="str">
        <f>IFERROR(1-SUMIF(IGA_BD!$F:$F,$A302,IGA_BD!$V:$V)/($AA302+SUMIF(IGA_BD!$F:$F,$A302,IGA_BD!$V:$V)),"")</f>
        <v/>
      </c>
      <c r="R302" s="143" t="str">
        <f>IFERROR(1-SUMIF(Grid_BD!$F:$F,$A302,Grid_BD!$X:$X)/($AA302+SUMIF(Grid_BD!$F:$F,$A302,Grid_BD!$X:$X)),"")</f>
        <v/>
      </c>
      <c r="S302" s="121"/>
      <c r="T302" s="138"/>
      <c r="U302" s="139"/>
      <c r="V302" s="121"/>
      <c r="W302" s="140" t="str">
        <f>IFERROR(Table13[[#This Row],[Mtr_Net_Exp (KWh)]]/(24*AR302*1000),"")</f>
        <v/>
      </c>
      <c r="X302" s="121" t="str">
        <f>IFERROR(_xlfn.XLOOKUP($A302,Input_Raw!$A:$A,Input_Raw!$CF:$CF),"")</f>
        <v/>
      </c>
      <c r="Y302" s="121" t="str">
        <f>IFERROR(_xlfn.XLOOKUP($A302,Input_Raw!$A:$A,Input_Raw!$CZ:$CZ),"")</f>
        <v/>
      </c>
      <c r="Z302" s="121" t="str">
        <f>IFERROR(_xlfn.XLOOKUP($A302,Input_Raw!$A:$A,Input_Raw!$DA:$DA),"")</f>
        <v/>
      </c>
      <c r="AA302" s="123" t="str">
        <f t="shared" si="31"/>
        <v/>
      </c>
      <c r="AB302" s="121" t="str">
        <f>IFERROR(_xlfn.XLOOKUP($A302,Input_Raw!$A:$A,Input_Raw!$DG:$DG),"")</f>
        <v/>
      </c>
      <c r="AC302" s="141">
        <f>IFERROR(_xlfn.XLOOKUP($D302,'Modelling New'!$D:$D,'Modelling New'!$J:$J),"")</f>
        <v>3.8</v>
      </c>
      <c r="AD302" s="123">
        <f>IFERROR(_xlfn.XLOOKUP($D302,'Modelling New'!$D:$D,'Modelling New'!$T:$T)*1000,"")</f>
        <v>128093.39599615177</v>
      </c>
      <c r="AE302" s="140"/>
      <c r="AF302" s="140">
        <f>IFERROR(_xlfn.XLOOKUP($D302,'Modelling New'!$D:$D,'Modelling New'!$W:$W),"")</f>
        <v>6.8425959399653721E-2</v>
      </c>
      <c r="AG302" s="140">
        <f>IFERROR(_xlfn.XLOOKUP($D302,'Modelling New'!$D:$D,'Modelling New'!$AE:$AE),"")</f>
        <v>0.96029999999999993</v>
      </c>
      <c r="AH302" s="140">
        <f>IFERROR(_xlfn.XLOOKUP($D302,'Modelling New'!$D:$D,'Modelling New'!$AF:$AF),"")</f>
        <v>0.995</v>
      </c>
      <c r="AI302" s="121" t="str">
        <f>IFERROR(_xlfn.XLOOKUP($A302,Input_Raw!$A:$A,Input_Raw!$DE:$DE),"")</f>
        <v/>
      </c>
      <c r="AJ302" s="121"/>
      <c r="AK302" s="121"/>
      <c r="AL302" s="121"/>
      <c r="AM302" s="121"/>
      <c r="AN302" s="142" t="str">
        <f>IFERROR(_xlfn.XLOOKUP($A302,Input_Raw!$A:$A,Input_Raw!$DB:$DB),"")</f>
        <v/>
      </c>
      <c r="AO302" s="140" t="str">
        <f>IFERROR((_xlfn.XLOOKUP($A302,'WTG Reactive Power'!$A:$A,'WTG Reactive Power'!$AR:$AR))/X302/1000,"")</f>
        <v/>
      </c>
      <c r="AP302" s="140">
        <f>IFERROR(_xlfn.XLOOKUP($D302,'Modelling New'!$D:$D,'Modelling New'!$AK:$AK),"")</f>
        <v>0.05</v>
      </c>
      <c r="AQ302" s="140">
        <f>IFERROR(_xlfn.XLOOKUP($D302,'Modelling New'!$D:$D,'Modelling New'!$AL:$AL),"")</f>
        <v>0.05</v>
      </c>
      <c r="AR302">
        <f>IFERROR(_xlfn.XLOOKUP($D302,'Modelling New'!$D:$D,'Modelling New'!$N:$N),"")</f>
        <v>78</v>
      </c>
    </row>
    <row r="303" spans="1:44">
      <c r="A303" s="134">
        <f t="shared" si="32"/>
        <v>46046</v>
      </c>
      <c r="B303" s="123">
        <f>YEAR(Table13[[#This Row],[Date]])+IF(MONTH(Table13[[#This Row],[Date]])&gt;=4,1,0)</f>
        <v>2026</v>
      </c>
      <c r="C303" s="121">
        <f>YEAR(Table13[[#This Row],[Date]])</f>
        <v>2026</v>
      </c>
      <c r="D303" s="135">
        <f>Table13[[#This Row],[Date]]-DAY(Table13[[#This Row],[Date]])+1</f>
        <v>46023</v>
      </c>
      <c r="E303" s="121">
        <f t="shared" si="29"/>
        <v>31</v>
      </c>
      <c r="F303" s="124"/>
      <c r="G303" s="125"/>
      <c r="H303" s="125"/>
      <c r="I303" s="125"/>
      <c r="J303" s="125"/>
      <c r="K303" s="136"/>
      <c r="L303" s="125"/>
      <c r="M303" s="125" t="str">
        <f>IFERROR(_xlfn.XLOOKUP($A303,Input_Raw!$A:$A,Input_Raw!CG:CG),"")</f>
        <v/>
      </c>
      <c r="N303" s="125" t="str">
        <f>IFERROR(_xlfn.XLOOKUP($A303,Input_Raw!$A:$A,Input_Raw!CH:CH),"")</f>
        <v/>
      </c>
      <c r="O303" s="137" t="str">
        <f t="shared" si="30"/>
        <v/>
      </c>
      <c r="P303" s="137" t="str">
        <f>IFERROR(1-SUMIF(WTG_BD!$F:$F,$A303,WTG_BD!$AA:$AA)/($AA303+SUMIF(WTG_BD!$F:$F,$A303,WTG_BD!$AA:$AA)),"")</f>
        <v/>
      </c>
      <c r="Q303" s="138" t="str">
        <f>IFERROR(1-SUMIF(IGA_BD!$F:$F,$A303,IGA_BD!$V:$V)/($AA303+SUMIF(IGA_BD!$F:$F,$A303,IGA_BD!$V:$V)),"")</f>
        <v/>
      </c>
      <c r="R303" s="143" t="str">
        <f>IFERROR(1-SUMIF(Grid_BD!$F:$F,$A303,Grid_BD!$X:$X)/($AA303+SUMIF(Grid_BD!$F:$F,$A303,Grid_BD!$X:$X)),"")</f>
        <v/>
      </c>
      <c r="S303" s="121"/>
      <c r="T303" s="138"/>
      <c r="U303" s="139"/>
      <c r="V303" s="121"/>
      <c r="W303" s="140" t="str">
        <f>IFERROR(Table13[[#This Row],[Mtr_Net_Exp (KWh)]]/(24*AR303*1000),"")</f>
        <v/>
      </c>
      <c r="X303" s="121" t="str">
        <f>IFERROR(_xlfn.XLOOKUP($A303,Input_Raw!$A:$A,Input_Raw!$CF:$CF),"")</f>
        <v/>
      </c>
      <c r="Y303" s="121" t="str">
        <f>IFERROR(_xlfn.XLOOKUP($A303,Input_Raw!$A:$A,Input_Raw!$CZ:$CZ),"")</f>
        <v/>
      </c>
      <c r="Z303" s="121" t="str">
        <f>IFERROR(_xlfn.XLOOKUP($A303,Input_Raw!$A:$A,Input_Raw!$DA:$DA),"")</f>
        <v/>
      </c>
      <c r="AA303" s="123" t="str">
        <f t="shared" si="31"/>
        <v/>
      </c>
      <c r="AB303" s="121" t="str">
        <f>IFERROR(_xlfn.XLOOKUP($A303,Input_Raw!$A:$A,Input_Raw!$DG:$DG),"")</f>
        <v/>
      </c>
      <c r="AC303" s="141">
        <f>IFERROR(_xlfn.XLOOKUP($D303,'Modelling New'!$D:$D,'Modelling New'!$J:$J),"")</f>
        <v>3.8</v>
      </c>
      <c r="AD303" s="123">
        <f>IFERROR(_xlfn.XLOOKUP($D303,'Modelling New'!$D:$D,'Modelling New'!$T:$T)*1000,"")</f>
        <v>128093.39599615177</v>
      </c>
      <c r="AE303" s="140"/>
      <c r="AF303" s="140">
        <f>IFERROR(_xlfn.XLOOKUP($D303,'Modelling New'!$D:$D,'Modelling New'!$W:$W),"")</f>
        <v>6.8425959399653721E-2</v>
      </c>
      <c r="AG303" s="140">
        <f>IFERROR(_xlfn.XLOOKUP($D303,'Modelling New'!$D:$D,'Modelling New'!$AE:$AE),"")</f>
        <v>0.96029999999999993</v>
      </c>
      <c r="AH303" s="140">
        <f>IFERROR(_xlfn.XLOOKUP($D303,'Modelling New'!$D:$D,'Modelling New'!$AF:$AF),"")</f>
        <v>0.995</v>
      </c>
      <c r="AI303" s="121" t="str">
        <f>IFERROR(_xlfn.XLOOKUP($A303,Input_Raw!$A:$A,Input_Raw!$DE:$DE),"")</f>
        <v/>
      </c>
      <c r="AJ303" s="121"/>
      <c r="AK303" s="121"/>
      <c r="AL303" s="121"/>
      <c r="AM303" s="121"/>
      <c r="AN303" s="142" t="str">
        <f>IFERROR(_xlfn.XLOOKUP($A303,Input_Raw!$A:$A,Input_Raw!$DB:$DB),"")</f>
        <v/>
      </c>
      <c r="AO303" s="140" t="str">
        <f>IFERROR((_xlfn.XLOOKUP($A303,'WTG Reactive Power'!$A:$A,'WTG Reactive Power'!$AR:$AR))/X303/1000,"")</f>
        <v/>
      </c>
      <c r="AP303" s="140">
        <f>IFERROR(_xlfn.XLOOKUP($D303,'Modelling New'!$D:$D,'Modelling New'!$AK:$AK),"")</f>
        <v>0.05</v>
      </c>
      <c r="AQ303" s="140">
        <f>IFERROR(_xlfn.XLOOKUP($D303,'Modelling New'!$D:$D,'Modelling New'!$AL:$AL),"")</f>
        <v>0.05</v>
      </c>
      <c r="AR303">
        <f>IFERROR(_xlfn.XLOOKUP($D303,'Modelling New'!$D:$D,'Modelling New'!$N:$N),"")</f>
        <v>78</v>
      </c>
    </row>
    <row r="304" spans="1:44">
      <c r="A304" s="134">
        <f t="shared" si="32"/>
        <v>46047</v>
      </c>
      <c r="B304" s="123">
        <f>YEAR(Table13[[#This Row],[Date]])+IF(MONTH(Table13[[#This Row],[Date]])&gt;=4,1,0)</f>
        <v>2026</v>
      </c>
      <c r="C304" s="121">
        <f>YEAR(Table13[[#This Row],[Date]])</f>
        <v>2026</v>
      </c>
      <c r="D304" s="135">
        <f>Table13[[#This Row],[Date]]-DAY(Table13[[#This Row],[Date]])+1</f>
        <v>46023</v>
      </c>
      <c r="E304" s="121">
        <f t="shared" si="29"/>
        <v>31</v>
      </c>
      <c r="F304" s="124"/>
      <c r="G304" s="125"/>
      <c r="H304" s="125"/>
      <c r="I304" s="125"/>
      <c r="J304" s="125"/>
      <c r="K304" s="136"/>
      <c r="L304" s="125"/>
      <c r="M304" s="125" t="str">
        <f>IFERROR(_xlfn.XLOOKUP($A304,Input_Raw!$A:$A,Input_Raw!CG:CG),"")</f>
        <v/>
      </c>
      <c r="N304" s="125" t="str">
        <f>IFERROR(_xlfn.XLOOKUP($A304,Input_Raw!$A:$A,Input_Raw!CH:CH),"")</f>
        <v/>
      </c>
      <c r="O304" s="137" t="str">
        <f t="shared" si="30"/>
        <v/>
      </c>
      <c r="P304" s="137" t="str">
        <f>IFERROR(1-SUMIF(WTG_BD!$F:$F,$A304,WTG_BD!$AA:$AA)/($AA304+SUMIF(WTG_BD!$F:$F,$A304,WTG_BD!$AA:$AA)),"")</f>
        <v/>
      </c>
      <c r="Q304" s="138" t="str">
        <f>IFERROR(1-SUMIF(IGA_BD!$F:$F,$A304,IGA_BD!$V:$V)/($AA304+SUMIF(IGA_BD!$F:$F,$A304,IGA_BD!$V:$V)),"")</f>
        <v/>
      </c>
      <c r="R304" s="143" t="str">
        <f>IFERROR(1-SUMIF(Grid_BD!$F:$F,$A304,Grid_BD!$X:$X)/($AA304+SUMIF(Grid_BD!$F:$F,$A304,Grid_BD!$X:$X)),"")</f>
        <v/>
      </c>
      <c r="S304" s="121"/>
      <c r="T304" s="138"/>
      <c r="U304" s="139"/>
      <c r="V304" s="121"/>
      <c r="W304" s="140" t="str">
        <f>IFERROR(Table13[[#This Row],[Mtr_Net_Exp (KWh)]]/(24*AR304*1000),"")</f>
        <v/>
      </c>
      <c r="X304" s="121" t="str">
        <f>IFERROR(_xlfn.XLOOKUP($A304,Input_Raw!$A:$A,Input_Raw!$CF:$CF),"")</f>
        <v/>
      </c>
      <c r="Y304" s="121" t="str">
        <f>IFERROR(_xlfn.XLOOKUP($A304,Input_Raw!$A:$A,Input_Raw!$CZ:$CZ),"")</f>
        <v/>
      </c>
      <c r="Z304" s="121" t="str">
        <f>IFERROR(_xlfn.XLOOKUP($A304,Input_Raw!$A:$A,Input_Raw!$DA:$DA),"")</f>
        <v/>
      </c>
      <c r="AA304" s="123" t="str">
        <f t="shared" si="31"/>
        <v/>
      </c>
      <c r="AB304" s="121" t="str">
        <f>IFERROR(_xlfn.XLOOKUP($A304,Input_Raw!$A:$A,Input_Raw!$DG:$DG),"")</f>
        <v/>
      </c>
      <c r="AC304" s="141">
        <f>IFERROR(_xlfn.XLOOKUP($D304,'Modelling New'!$D:$D,'Modelling New'!$J:$J),"")</f>
        <v>3.8</v>
      </c>
      <c r="AD304" s="123">
        <f>IFERROR(_xlfn.XLOOKUP($D304,'Modelling New'!$D:$D,'Modelling New'!$T:$T)*1000,"")</f>
        <v>128093.39599615177</v>
      </c>
      <c r="AE304" s="140"/>
      <c r="AF304" s="140">
        <f>IFERROR(_xlfn.XLOOKUP($D304,'Modelling New'!$D:$D,'Modelling New'!$W:$W),"")</f>
        <v>6.8425959399653721E-2</v>
      </c>
      <c r="AG304" s="140">
        <f>IFERROR(_xlfn.XLOOKUP($D304,'Modelling New'!$D:$D,'Modelling New'!$AE:$AE),"")</f>
        <v>0.96029999999999993</v>
      </c>
      <c r="AH304" s="140">
        <f>IFERROR(_xlfn.XLOOKUP($D304,'Modelling New'!$D:$D,'Modelling New'!$AF:$AF),"")</f>
        <v>0.995</v>
      </c>
      <c r="AI304" s="121" t="str">
        <f>IFERROR(_xlfn.XLOOKUP($A304,Input_Raw!$A:$A,Input_Raw!$DE:$DE),"")</f>
        <v/>
      </c>
      <c r="AJ304" s="121"/>
      <c r="AK304" s="121"/>
      <c r="AL304" s="121"/>
      <c r="AM304" s="121"/>
      <c r="AN304" s="142" t="str">
        <f>IFERROR(_xlfn.XLOOKUP($A304,Input_Raw!$A:$A,Input_Raw!$DB:$DB),"")</f>
        <v/>
      </c>
      <c r="AO304" s="140" t="str">
        <f>IFERROR((_xlfn.XLOOKUP($A304,'WTG Reactive Power'!$A:$A,'WTG Reactive Power'!$AR:$AR))/X304/1000,"")</f>
        <v/>
      </c>
      <c r="AP304" s="140">
        <f>IFERROR(_xlfn.XLOOKUP($D304,'Modelling New'!$D:$D,'Modelling New'!$AK:$AK),"")</f>
        <v>0.05</v>
      </c>
      <c r="AQ304" s="140">
        <f>IFERROR(_xlfn.XLOOKUP($D304,'Modelling New'!$D:$D,'Modelling New'!$AL:$AL),"")</f>
        <v>0.05</v>
      </c>
      <c r="AR304">
        <f>IFERROR(_xlfn.XLOOKUP($D304,'Modelling New'!$D:$D,'Modelling New'!$N:$N),"")</f>
        <v>78</v>
      </c>
    </row>
    <row r="305" spans="1:44">
      <c r="A305" s="134">
        <f t="shared" si="32"/>
        <v>46048</v>
      </c>
      <c r="B305" s="123">
        <f>YEAR(Table13[[#This Row],[Date]])+IF(MONTH(Table13[[#This Row],[Date]])&gt;=4,1,0)</f>
        <v>2026</v>
      </c>
      <c r="C305" s="121">
        <f>YEAR(Table13[[#This Row],[Date]])</f>
        <v>2026</v>
      </c>
      <c r="D305" s="135">
        <f>Table13[[#This Row],[Date]]-DAY(Table13[[#This Row],[Date]])+1</f>
        <v>46023</v>
      </c>
      <c r="E305" s="121">
        <f t="shared" si="29"/>
        <v>31</v>
      </c>
      <c r="F305" s="124"/>
      <c r="G305" s="125"/>
      <c r="H305" s="125"/>
      <c r="I305" s="125"/>
      <c r="J305" s="125"/>
      <c r="K305" s="136"/>
      <c r="L305" s="125"/>
      <c r="M305" s="125" t="str">
        <f>IFERROR(_xlfn.XLOOKUP($A305,Input_Raw!$A:$A,Input_Raw!CG:CG),"")</f>
        <v/>
      </c>
      <c r="N305" s="125" t="str">
        <f>IFERROR(_xlfn.XLOOKUP($A305,Input_Raw!$A:$A,Input_Raw!CH:CH),"")</f>
        <v/>
      </c>
      <c r="O305" s="137" t="str">
        <f t="shared" si="30"/>
        <v/>
      </c>
      <c r="P305" s="137" t="str">
        <f>IFERROR(1-SUMIF(WTG_BD!$F:$F,$A305,WTG_BD!$AA:$AA)/($AA305+SUMIF(WTG_BD!$F:$F,$A305,WTG_BD!$AA:$AA)),"")</f>
        <v/>
      </c>
      <c r="Q305" s="138" t="str">
        <f>IFERROR(1-SUMIF(IGA_BD!$F:$F,$A305,IGA_BD!$V:$V)/($AA305+SUMIF(IGA_BD!$F:$F,$A305,IGA_BD!$V:$V)),"")</f>
        <v/>
      </c>
      <c r="R305" s="143" t="str">
        <f>IFERROR(1-SUMIF(Grid_BD!$F:$F,$A305,Grid_BD!$X:$X)/($AA305+SUMIF(Grid_BD!$F:$F,$A305,Grid_BD!$X:$X)),"")</f>
        <v/>
      </c>
      <c r="S305" s="121"/>
      <c r="T305" s="138"/>
      <c r="U305" s="139"/>
      <c r="V305" s="121"/>
      <c r="W305" s="140" t="str">
        <f>IFERROR(Table13[[#This Row],[Mtr_Net_Exp (KWh)]]/(24*AR305*1000),"")</f>
        <v/>
      </c>
      <c r="X305" s="121" t="str">
        <f>IFERROR(_xlfn.XLOOKUP($A305,Input_Raw!$A:$A,Input_Raw!$CF:$CF),"")</f>
        <v/>
      </c>
      <c r="Y305" s="121" t="str">
        <f>IFERROR(_xlfn.XLOOKUP($A305,Input_Raw!$A:$A,Input_Raw!$CZ:$CZ),"")</f>
        <v/>
      </c>
      <c r="Z305" s="121" t="str">
        <f>IFERROR(_xlfn.XLOOKUP($A305,Input_Raw!$A:$A,Input_Raw!$DA:$DA),"")</f>
        <v/>
      </c>
      <c r="AA305" s="123" t="str">
        <f t="shared" si="31"/>
        <v/>
      </c>
      <c r="AB305" s="121" t="str">
        <f>IFERROR(_xlfn.XLOOKUP($A305,Input_Raw!$A:$A,Input_Raw!$DG:$DG),"")</f>
        <v/>
      </c>
      <c r="AC305" s="141">
        <f>IFERROR(_xlfn.XLOOKUP($D305,'Modelling New'!$D:$D,'Modelling New'!$J:$J),"")</f>
        <v>3.8</v>
      </c>
      <c r="AD305" s="123">
        <f>IFERROR(_xlfn.XLOOKUP($D305,'Modelling New'!$D:$D,'Modelling New'!$T:$T)*1000,"")</f>
        <v>128093.39599615177</v>
      </c>
      <c r="AE305" s="140"/>
      <c r="AF305" s="140">
        <f>IFERROR(_xlfn.XLOOKUP($D305,'Modelling New'!$D:$D,'Modelling New'!$W:$W),"")</f>
        <v>6.8425959399653721E-2</v>
      </c>
      <c r="AG305" s="140">
        <f>IFERROR(_xlfn.XLOOKUP($D305,'Modelling New'!$D:$D,'Modelling New'!$AE:$AE),"")</f>
        <v>0.96029999999999993</v>
      </c>
      <c r="AH305" s="140">
        <f>IFERROR(_xlfn.XLOOKUP($D305,'Modelling New'!$D:$D,'Modelling New'!$AF:$AF),"")</f>
        <v>0.995</v>
      </c>
      <c r="AI305" s="121" t="str">
        <f>IFERROR(_xlfn.XLOOKUP($A305,Input_Raw!$A:$A,Input_Raw!$DE:$DE),"")</f>
        <v/>
      </c>
      <c r="AJ305" s="121"/>
      <c r="AK305" s="121"/>
      <c r="AL305" s="121"/>
      <c r="AM305" s="121"/>
      <c r="AN305" s="142" t="str">
        <f>IFERROR(_xlfn.XLOOKUP($A305,Input_Raw!$A:$A,Input_Raw!$DB:$DB),"")</f>
        <v/>
      </c>
      <c r="AO305" s="140" t="str">
        <f>IFERROR((_xlfn.XLOOKUP($A305,'WTG Reactive Power'!$A:$A,'WTG Reactive Power'!$AR:$AR))/X305/1000,"")</f>
        <v/>
      </c>
      <c r="AP305" s="140">
        <f>IFERROR(_xlfn.XLOOKUP($D305,'Modelling New'!$D:$D,'Modelling New'!$AK:$AK),"")</f>
        <v>0.05</v>
      </c>
      <c r="AQ305" s="140">
        <f>IFERROR(_xlfn.XLOOKUP($D305,'Modelling New'!$D:$D,'Modelling New'!$AL:$AL),"")</f>
        <v>0.05</v>
      </c>
      <c r="AR305">
        <f>IFERROR(_xlfn.XLOOKUP($D305,'Modelling New'!$D:$D,'Modelling New'!$N:$N),"")</f>
        <v>78</v>
      </c>
    </row>
    <row r="306" spans="1:44">
      <c r="A306" s="134">
        <f t="shared" si="32"/>
        <v>46049</v>
      </c>
      <c r="B306" s="123">
        <f>YEAR(Table13[[#This Row],[Date]])+IF(MONTH(Table13[[#This Row],[Date]])&gt;=4,1,0)</f>
        <v>2026</v>
      </c>
      <c r="C306" s="121">
        <f>YEAR(Table13[[#This Row],[Date]])</f>
        <v>2026</v>
      </c>
      <c r="D306" s="135">
        <f>Table13[[#This Row],[Date]]-DAY(Table13[[#This Row],[Date]])+1</f>
        <v>46023</v>
      </c>
      <c r="E306" s="121">
        <f t="shared" si="29"/>
        <v>31</v>
      </c>
      <c r="F306" s="124"/>
      <c r="G306" s="125"/>
      <c r="H306" s="125"/>
      <c r="I306" s="125"/>
      <c r="J306" s="125"/>
      <c r="K306" s="136"/>
      <c r="L306" s="125"/>
      <c r="M306" s="125" t="str">
        <f>IFERROR(_xlfn.XLOOKUP($A306,Input_Raw!$A:$A,Input_Raw!CG:CG),"")</f>
        <v/>
      </c>
      <c r="N306" s="125" t="str">
        <f>IFERROR(_xlfn.XLOOKUP($A306,Input_Raw!$A:$A,Input_Raw!CH:CH),"")</f>
        <v/>
      </c>
      <c r="O306" s="137" t="str">
        <f t="shared" si="30"/>
        <v/>
      </c>
      <c r="P306" s="137" t="str">
        <f>IFERROR(1-SUMIF(WTG_BD!$F:$F,$A306,WTG_BD!$AA:$AA)/($AA306+SUMIF(WTG_BD!$F:$F,$A306,WTG_BD!$AA:$AA)),"")</f>
        <v/>
      </c>
      <c r="Q306" s="138" t="str">
        <f>IFERROR(1-SUMIF(IGA_BD!$F:$F,$A306,IGA_BD!$V:$V)/($AA306+SUMIF(IGA_BD!$F:$F,$A306,IGA_BD!$V:$V)),"")</f>
        <v/>
      </c>
      <c r="R306" s="143" t="str">
        <f>IFERROR(1-SUMIF(Grid_BD!$F:$F,$A306,Grid_BD!$X:$X)/($AA306+SUMIF(Grid_BD!$F:$F,$A306,Grid_BD!$X:$X)),"")</f>
        <v/>
      </c>
      <c r="S306" s="121"/>
      <c r="T306" s="138"/>
      <c r="U306" s="139"/>
      <c r="V306" s="121"/>
      <c r="W306" s="140" t="str">
        <f>IFERROR(Table13[[#This Row],[Mtr_Net_Exp (KWh)]]/(24*AR306*1000),"")</f>
        <v/>
      </c>
      <c r="X306" s="121" t="str">
        <f>IFERROR(_xlfn.XLOOKUP($A306,Input_Raw!$A:$A,Input_Raw!$CF:$CF),"")</f>
        <v/>
      </c>
      <c r="Y306" s="121" t="str">
        <f>IFERROR(_xlfn.XLOOKUP($A306,Input_Raw!$A:$A,Input_Raw!$CZ:$CZ),"")</f>
        <v/>
      </c>
      <c r="Z306" s="121" t="str">
        <f>IFERROR(_xlfn.XLOOKUP($A306,Input_Raw!$A:$A,Input_Raw!$DA:$DA),"")</f>
        <v/>
      </c>
      <c r="AA306" s="123" t="str">
        <f t="shared" si="31"/>
        <v/>
      </c>
      <c r="AB306" s="121" t="str">
        <f>IFERROR(_xlfn.XLOOKUP($A306,Input_Raw!$A:$A,Input_Raw!$DG:$DG),"")</f>
        <v/>
      </c>
      <c r="AC306" s="141">
        <f>IFERROR(_xlfn.XLOOKUP($D306,'Modelling New'!$D:$D,'Modelling New'!$J:$J),"")</f>
        <v>3.8</v>
      </c>
      <c r="AD306" s="123">
        <f>IFERROR(_xlfn.XLOOKUP($D306,'Modelling New'!$D:$D,'Modelling New'!$T:$T)*1000,"")</f>
        <v>128093.39599615177</v>
      </c>
      <c r="AE306" s="140"/>
      <c r="AF306" s="140">
        <f>IFERROR(_xlfn.XLOOKUP($D306,'Modelling New'!$D:$D,'Modelling New'!$W:$W),"")</f>
        <v>6.8425959399653721E-2</v>
      </c>
      <c r="AG306" s="140">
        <f>IFERROR(_xlfn.XLOOKUP($D306,'Modelling New'!$D:$D,'Modelling New'!$AE:$AE),"")</f>
        <v>0.96029999999999993</v>
      </c>
      <c r="AH306" s="140">
        <f>IFERROR(_xlfn.XLOOKUP($D306,'Modelling New'!$D:$D,'Modelling New'!$AF:$AF),"")</f>
        <v>0.995</v>
      </c>
      <c r="AI306" s="121" t="str">
        <f>IFERROR(_xlfn.XLOOKUP($A306,Input_Raw!$A:$A,Input_Raw!$DE:$DE),"")</f>
        <v/>
      </c>
      <c r="AJ306" s="121"/>
      <c r="AK306" s="121"/>
      <c r="AL306" s="121"/>
      <c r="AM306" s="121"/>
      <c r="AN306" s="142" t="str">
        <f>IFERROR(_xlfn.XLOOKUP($A306,Input_Raw!$A:$A,Input_Raw!$DB:$DB),"")</f>
        <v/>
      </c>
      <c r="AO306" s="140" t="str">
        <f>IFERROR((_xlfn.XLOOKUP($A306,'WTG Reactive Power'!$A:$A,'WTG Reactive Power'!$AR:$AR))/X306/1000,"")</f>
        <v/>
      </c>
      <c r="AP306" s="140">
        <f>IFERROR(_xlfn.XLOOKUP($D306,'Modelling New'!$D:$D,'Modelling New'!$AK:$AK),"")</f>
        <v>0.05</v>
      </c>
      <c r="AQ306" s="140">
        <f>IFERROR(_xlfn.XLOOKUP($D306,'Modelling New'!$D:$D,'Modelling New'!$AL:$AL),"")</f>
        <v>0.05</v>
      </c>
      <c r="AR306">
        <f>IFERROR(_xlfn.XLOOKUP($D306,'Modelling New'!$D:$D,'Modelling New'!$N:$N),"")</f>
        <v>78</v>
      </c>
    </row>
    <row r="307" spans="1:44">
      <c r="A307" s="134">
        <f t="shared" si="32"/>
        <v>46050</v>
      </c>
      <c r="B307" s="123">
        <f>YEAR(Table13[[#This Row],[Date]])+IF(MONTH(Table13[[#This Row],[Date]])&gt;=4,1,0)</f>
        <v>2026</v>
      </c>
      <c r="C307" s="121">
        <f>YEAR(Table13[[#This Row],[Date]])</f>
        <v>2026</v>
      </c>
      <c r="D307" s="135">
        <f>Table13[[#This Row],[Date]]-DAY(Table13[[#This Row],[Date]])+1</f>
        <v>46023</v>
      </c>
      <c r="E307" s="121">
        <f t="shared" si="29"/>
        <v>31</v>
      </c>
      <c r="F307" s="124"/>
      <c r="G307" s="125"/>
      <c r="H307" s="125"/>
      <c r="I307" s="125"/>
      <c r="J307" s="125"/>
      <c r="K307" s="136"/>
      <c r="L307" s="125"/>
      <c r="M307" s="125" t="str">
        <f>IFERROR(_xlfn.XLOOKUP($A307,Input_Raw!$A:$A,Input_Raw!CG:CG),"")</f>
        <v/>
      </c>
      <c r="N307" s="125" t="str">
        <f>IFERROR(_xlfn.XLOOKUP($A307,Input_Raw!$A:$A,Input_Raw!CH:CH),"")</f>
        <v/>
      </c>
      <c r="O307" s="137" t="str">
        <f t="shared" si="30"/>
        <v/>
      </c>
      <c r="P307" s="137" t="str">
        <f>IFERROR(1-SUMIF(WTG_BD!$F:$F,$A307,WTG_BD!$AA:$AA)/($AA307+SUMIF(WTG_BD!$F:$F,$A307,WTG_BD!$AA:$AA)),"")</f>
        <v/>
      </c>
      <c r="Q307" s="138" t="str">
        <f>IFERROR(1-SUMIF(IGA_BD!$F:$F,$A307,IGA_BD!$V:$V)/($AA307+SUMIF(IGA_BD!$F:$F,$A307,IGA_BD!$V:$V)),"")</f>
        <v/>
      </c>
      <c r="R307" s="143" t="str">
        <f>IFERROR(1-SUMIF(Grid_BD!$F:$F,$A307,Grid_BD!$X:$X)/($AA307+SUMIF(Grid_BD!$F:$F,$A307,Grid_BD!$X:$X)),"")</f>
        <v/>
      </c>
      <c r="S307" s="121"/>
      <c r="T307" s="138"/>
      <c r="U307" s="139"/>
      <c r="V307" s="121"/>
      <c r="W307" s="140" t="str">
        <f>IFERROR(Table13[[#This Row],[Mtr_Net_Exp (KWh)]]/(24*AR307*1000),"")</f>
        <v/>
      </c>
      <c r="X307" s="121" t="str">
        <f>IFERROR(_xlfn.XLOOKUP($A307,Input_Raw!$A:$A,Input_Raw!$CF:$CF),"")</f>
        <v/>
      </c>
      <c r="Y307" s="121" t="str">
        <f>IFERROR(_xlfn.XLOOKUP($A307,Input_Raw!$A:$A,Input_Raw!$CZ:$CZ),"")</f>
        <v/>
      </c>
      <c r="Z307" s="121" t="str">
        <f>IFERROR(_xlfn.XLOOKUP($A307,Input_Raw!$A:$A,Input_Raw!$DA:$DA),"")</f>
        <v/>
      </c>
      <c r="AA307" s="123" t="str">
        <f t="shared" si="31"/>
        <v/>
      </c>
      <c r="AB307" s="121" t="str">
        <f>IFERROR(_xlfn.XLOOKUP($A307,Input_Raw!$A:$A,Input_Raw!$DG:$DG),"")</f>
        <v/>
      </c>
      <c r="AC307" s="141">
        <f>IFERROR(_xlfn.XLOOKUP($D307,'Modelling New'!$D:$D,'Modelling New'!$J:$J),"")</f>
        <v>3.8</v>
      </c>
      <c r="AD307" s="123">
        <f>IFERROR(_xlfn.XLOOKUP($D307,'Modelling New'!$D:$D,'Modelling New'!$T:$T)*1000,"")</f>
        <v>128093.39599615177</v>
      </c>
      <c r="AE307" s="140"/>
      <c r="AF307" s="140">
        <f>IFERROR(_xlfn.XLOOKUP($D307,'Modelling New'!$D:$D,'Modelling New'!$W:$W),"")</f>
        <v>6.8425959399653721E-2</v>
      </c>
      <c r="AG307" s="140">
        <f>IFERROR(_xlfn.XLOOKUP($D307,'Modelling New'!$D:$D,'Modelling New'!$AE:$AE),"")</f>
        <v>0.96029999999999993</v>
      </c>
      <c r="AH307" s="140">
        <f>IFERROR(_xlfn.XLOOKUP($D307,'Modelling New'!$D:$D,'Modelling New'!$AF:$AF),"")</f>
        <v>0.995</v>
      </c>
      <c r="AI307" s="121" t="str">
        <f>IFERROR(_xlfn.XLOOKUP($A307,Input_Raw!$A:$A,Input_Raw!$DE:$DE),"")</f>
        <v/>
      </c>
      <c r="AJ307" s="121"/>
      <c r="AK307" s="121"/>
      <c r="AL307" s="121"/>
      <c r="AM307" s="121"/>
      <c r="AN307" s="142" t="str">
        <f>IFERROR(_xlfn.XLOOKUP($A307,Input_Raw!$A:$A,Input_Raw!$DB:$DB),"")</f>
        <v/>
      </c>
      <c r="AO307" s="140" t="str">
        <f>IFERROR((_xlfn.XLOOKUP($A307,'WTG Reactive Power'!$A:$A,'WTG Reactive Power'!$AR:$AR))/X307/1000,"")</f>
        <v/>
      </c>
      <c r="AP307" s="140">
        <f>IFERROR(_xlfn.XLOOKUP($D307,'Modelling New'!$D:$D,'Modelling New'!$AK:$AK),"")</f>
        <v>0.05</v>
      </c>
      <c r="AQ307" s="140">
        <f>IFERROR(_xlfn.XLOOKUP($D307,'Modelling New'!$D:$D,'Modelling New'!$AL:$AL),"")</f>
        <v>0.05</v>
      </c>
      <c r="AR307">
        <f>IFERROR(_xlfn.XLOOKUP($D307,'Modelling New'!$D:$D,'Modelling New'!$N:$N),"")</f>
        <v>78</v>
      </c>
    </row>
    <row r="308" spans="1:44">
      <c r="A308" s="134">
        <f t="shared" si="32"/>
        <v>46051</v>
      </c>
      <c r="B308" s="123">
        <f>YEAR(Table13[[#This Row],[Date]])+IF(MONTH(Table13[[#This Row],[Date]])&gt;=4,1,0)</f>
        <v>2026</v>
      </c>
      <c r="C308" s="121">
        <f>YEAR(Table13[[#This Row],[Date]])</f>
        <v>2026</v>
      </c>
      <c r="D308" s="135">
        <f>Table13[[#This Row],[Date]]-DAY(Table13[[#This Row],[Date]])+1</f>
        <v>46023</v>
      </c>
      <c r="E308" s="121">
        <f t="shared" si="29"/>
        <v>31</v>
      </c>
      <c r="F308" s="124"/>
      <c r="G308" s="125"/>
      <c r="H308" s="125"/>
      <c r="I308" s="125"/>
      <c r="J308" s="125"/>
      <c r="K308" s="136"/>
      <c r="L308" s="125"/>
      <c r="M308" s="125" t="str">
        <f>IFERROR(_xlfn.XLOOKUP($A308,Input_Raw!$A:$A,Input_Raw!CG:CG),"")</f>
        <v/>
      </c>
      <c r="N308" s="125" t="str">
        <f>IFERROR(_xlfn.XLOOKUP($A308,Input_Raw!$A:$A,Input_Raw!CH:CH),"")</f>
        <v/>
      </c>
      <c r="O308" s="137" t="str">
        <f t="shared" si="30"/>
        <v/>
      </c>
      <c r="P308" s="137" t="str">
        <f>IFERROR(1-SUMIF(WTG_BD!$F:$F,$A308,WTG_BD!$AA:$AA)/($AA308+SUMIF(WTG_BD!$F:$F,$A308,WTG_BD!$AA:$AA)),"")</f>
        <v/>
      </c>
      <c r="Q308" s="138" t="str">
        <f>IFERROR(1-SUMIF(IGA_BD!$F:$F,$A308,IGA_BD!$V:$V)/($AA308+SUMIF(IGA_BD!$F:$F,$A308,IGA_BD!$V:$V)),"")</f>
        <v/>
      </c>
      <c r="R308" s="143" t="str">
        <f>IFERROR(1-SUMIF(Grid_BD!$F:$F,$A308,Grid_BD!$X:$X)/($AA308+SUMIF(Grid_BD!$F:$F,$A308,Grid_BD!$X:$X)),"")</f>
        <v/>
      </c>
      <c r="S308" s="121"/>
      <c r="T308" s="138"/>
      <c r="U308" s="139"/>
      <c r="V308" s="121"/>
      <c r="W308" s="140" t="str">
        <f>IFERROR(Table13[[#This Row],[Mtr_Net_Exp (KWh)]]/(24*AR308*1000),"")</f>
        <v/>
      </c>
      <c r="X308" s="121" t="str">
        <f>IFERROR(_xlfn.XLOOKUP($A308,Input_Raw!$A:$A,Input_Raw!$CF:$CF),"")</f>
        <v/>
      </c>
      <c r="Y308" s="121" t="str">
        <f>IFERROR(_xlfn.XLOOKUP($A308,Input_Raw!$A:$A,Input_Raw!$CZ:$CZ),"")</f>
        <v/>
      </c>
      <c r="Z308" s="121" t="str">
        <f>IFERROR(_xlfn.XLOOKUP($A308,Input_Raw!$A:$A,Input_Raw!$DA:$DA),"")</f>
        <v/>
      </c>
      <c r="AA308" s="123" t="str">
        <f t="shared" si="31"/>
        <v/>
      </c>
      <c r="AB308" s="121" t="str">
        <f>IFERROR(_xlfn.XLOOKUP($A308,Input_Raw!$A:$A,Input_Raw!$DG:$DG),"")</f>
        <v/>
      </c>
      <c r="AC308" s="141">
        <f>IFERROR(_xlfn.XLOOKUP($D308,'Modelling New'!$D:$D,'Modelling New'!$J:$J),"")</f>
        <v>3.8</v>
      </c>
      <c r="AD308" s="123">
        <f>IFERROR(_xlfn.XLOOKUP($D308,'Modelling New'!$D:$D,'Modelling New'!$T:$T)*1000,"")</f>
        <v>128093.39599615177</v>
      </c>
      <c r="AE308" s="140"/>
      <c r="AF308" s="140">
        <f>IFERROR(_xlfn.XLOOKUP($D308,'Modelling New'!$D:$D,'Modelling New'!$W:$W),"")</f>
        <v>6.8425959399653721E-2</v>
      </c>
      <c r="AG308" s="140">
        <f>IFERROR(_xlfn.XLOOKUP($D308,'Modelling New'!$D:$D,'Modelling New'!$AE:$AE),"")</f>
        <v>0.96029999999999993</v>
      </c>
      <c r="AH308" s="140">
        <f>IFERROR(_xlfn.XLOOKUP($D308,'Modelling New'!$D:$D,'Modelling New'!$AF:$AF),"")</f>
        <v>0.995</v>
      </c>
      <c r="AI308" s="121" t="str">
        <f>IFERROR(_xlfn.XLOOKUP($A308,Input_Raw!$A:$A,Input_Raw!$DE:$DE),"")</f>
        <v/>
      </c>
      <c r="AJ308" s="121"/>
      <c r="AK308" s="121"/>
      <c r="AL308" s="121"/>
      <c r="AM308" s="121"/>
      <c r="AN308" s="142" t="str">
        <f>IFERROR(_xlfn.XLOOKUP($A308,Input_Raw!$A:$A,Input_Raw!$DB:$DB),"")</f>
        <v/>
      </c>
      <c r="AO308" s="140" t="str">
        <f>IFERROR((_xlfn.XLOOKUP($A308,'WTG Reactive Power'!$A:$A,'WTG Reactive Power'!$AR:$AR))/X308/1000,"")</f>
        <v/>
      </c>
      <c r="AP308" s="140">
        <f>IFERROR(_xlfn.XLOOKUP($D308,'Modelling New'!$D:$D,'Modelling New'!$AK:$AK),"")</f>
        <v>0.05</v>
      </c>
      <c r="AQ308" s="140">
        <f>IFERROR(_xlfn.XLOOKUP($D308,'Modelling New'!$D:$D,'Modelling New'!$AL:$AL),"")</f>
        <v>0.05</v>
      </c>
      <c r="AR308">
        <f>IFERROR(_xlfn.XLOOKUP($D308,'Modelling New'!$D:$D,'Modelling New'!$N:$N),"")</f>
        <v>78</v>
      </c>
    </row>
    <row r="309" spans="1:44">
      <c r="A309" s="134">
        <f t="shared" si="32"/>
        <v>46052</v>
      </c>
      <c r="B309" s="123">
        <f>YEAR(Table13[[#This Row],[Date]])+IF(MONTH(Table13[[#This Row],[Date]])&gt;=4,1,0)</f>
        <v>2026</v>
      </c>
      <c r="C309" s="121">
        <f>YEAR(Table13[[#This Row],[Date]])</f>
        <v>2026</v>
      </c>
      <c r="D309" s="135">
        <f>Table13[[#This Row],[Date]]-DAY(Table13[[#This Row],[Date]])+1</f>
        <v>46023</v>
      </c>
      <c r="E309" s="121">
        <f t="shared" si="29"/>
        <v>31</v>
      </c>
      <c r="F309" s="124"/>
      <c r="G309" s="125"/>
      <c r="H309" s="125"/>
      <c r="I309" s="125"/>
      <c r="J309" s="125"/>
      <c r="K309" s="136"/>
      <c r="L309" s="125"/>
      <c r="M309" s="125" t="str">
        <f>IFERROR(_xlfn.XLOOKUP($A309,Input_Raw!$A:$A,Input_Raw!CG:CG),"")</f>
        <v/>
      </c>
      <c r="N309" s="125" t="str">
        <f>IFERROR(_xlfn.XLOOKUP($A309,Input_Raw!$A:$A,Input_Raw!CH:CH),"")</f>
        <v/>
      </c>
      <c r="O309" s="137" t="str">
        <f t="shared" si="30"/>
        <v/>
      </c>
      <c r="P309" s="137" t="str">
        <f>IFERROR(1-SUMIF(WTG_BD!$F:$F,$A309,WTG_BD!$AA:$AA)/($AA309+SUMIF(WTG_BD!$F:$F,$A309,WTG_BD!$AA:$AA)),"")</f>
        <v/>
      </c>
      <c r="Q309" s="138" t="str">
        <f>IFERROR(1-SUMIF(IGA_BD!$F:$F,$A309,IGA_BD!$V:$V)/($AA309+SUMIF(IGA_BD!$F:$F,$A309,IGA_BD!$V:$V)),"")</f>
        <v/>
      </c>
      <c r="R309" s="143" t="str">
        <f>IFERROR(1-SUMIF(Grid_BD!$F:$F,$A309,Grid_BD!$X:$X)/($AA309+SUMIF(Grid_BD!$F:$F,$A309,Grid_BD!$X:$X)),"")</f>
        <v/>
      </c>
      <c r="S309" s="121"/>
      <c r="T309" s="138"/>
      <c r="U309" s="139"/>
      <c r="V309" s="121"/>
      <c r="W309" s="140" t="str">
        <f>IFERROR(Table13[[#This Row],[Mtr_Net_Exp (KWh)]]/(24*AR309*1000),"")</f>
        <v/>
      </c>
      <c r="X309" s="121" t="str">
        <f>IFERROR(_xlfn.XLOOKUP($A309,Input_Raw!$A:$A,Input_Raw!$CF:$CF),"")</f>
        <v/>
      </c>
      <c r="Y309" s="121" t="str">
        <f>IFERROR(_xlfn.XLOOKUP($A309,Input_Raw!$A:$A,Input_Raw!$CZ:$CZ),"")</f>
        <v/>
      </c>
      <c r="Z309" s="121" t="str">
        <f>IFERROR(_xlfn.XLOOKUP($A309,Input_Raw!$A:$A,Input_Raw!$DA:$DA),"")</f>
        <v/>
      </c>
      <c r="AA309" s="123" t="str">
        <f t="shared" si="31"/>
        <v/>
      </c>
      <c r="AB309" s="121" t="str">
        <f>IFERROR(_xlfn.XLOOKUP($A309,Input_Raw!$A:$A,Input_Raw!$DG:$DG),"")</f>
        <v/>
      </c>
      <c r="AC309" s="141">
        <f>IFERROR(_xlfn.XLOOKUP($D309,'Modelling New'!$D:$D,'Modelling New'!$J:$J),"")</f>
        <v>3.8</v>
      </c>
      <c r="AD309" s="123">
        <f>IFERROR(_xlfn.XLOOKUP($D309,'Modelling New'!$D:$D,'Modelling New'!$T:$T)*1000,"")</f>
        <v>128093.39599615177</v>
      </c>
      <c r="AE309" s="140"/>
      <c r="AF309" s="140">
        <f>IFERROR(_xlfn.XLOOKUP($D309,'Modelling New'!$D:$D,'Modelling New'!$W:$W),"")</f>
        <v>6.8425959399653721E-2</v>
      </c>
      <c r="AG309" s="140">
        <f>IFERROR(_xlfn.XLOOKUP($D309,'Modelling New'!$D:$D,'Modelling New'!$AE:$AE),"")</f>
        <v>0.96029999999999993</v>
      </c>
      <c r="AH309" s="140">
        <f>IFERROR(_xlfn.XLOOKUP($D309,'Modelling New'!$D:$D,'Modelling New'!$AF:$AF),"")</f>
        <v>0.995</v>
      </c>
      <c r="AI309" s="121" t="str">
        <f>IFERROR(_xlfn.XLOOKUP($A309,Input_Raw!$A:$A,Input_Raw!$DE:$DE),"")</f>
        <v/>
      </c>
      <c r="AJ309" s="121"/>
      <c r="AK309" s="121"/>
      <c r="AL309" s="121"/>
      <c r="AM309" s="121"/>
      <c r="AN309" s="142" t="str">
        <f>IFERROR(_xlfn.XLOOKUP($A309,Input_Raw!$A:$A,Input_Raw!$DB:$DB),"")</f>
        <v/>
      </c>
      <c r="AO309" s="140" t="str">
        <f>IFERROR((_xlfn.XLOOKUP($A309,'WTG Reactive Power'!$A:$A,'WTG Reactive Power'!$AR:$AR))/X309/1000,"")</f>
        <v/>
      </c>
      <c r="AP309" s="140">
        <f>IFERROR(_xlfn.XLOOKUP($D309,'Modelling New'!$D:$D,'Modelling New'!$AK:$AK),"")</f>
        <v>0.05</v>
      </c>
      <c r="AQ309" s="140">
        <f>IFERROR(_xlfn.XLOOKUP($D309,'Modelling New'!$D:$D,'Modelling New'!$AL:$AL),"")</f>
        <v>0.05</v>
      </c>
      <c r="AR309">
        <f>IFERROR(_xlfn.XLOOKUP($D309,'Modelling New'!$D:$D,'Modelling New'!$N:$N),"")</f>
        <v>78</v>
      </c>
    </row>
    <row r="310" spans="1:44">
      <c r="A310" s="134">
        <f t="shared" si="32"/>
        <v>46053</v>
      </c>
      <c r="B310" s="123">
        <f>YEAR(Table13[[#This Row],[Date]])+IF(MONTH(Table13[[#This Row],[Date]])&gt;=4,1,0)</f>
        <v>2026</v>
      </c>
      <c r="C310" s="121">
        <f>YEAR(Table13[[#This Row],[Date]])</f>
        <v>2026</v>
      </c>
      <c r="D310" s="135">
        <f>Table13[[#This Row],[Date]]-DAY(Table13[[#This Row],[Date]])+1</f>
        <v>46023</v>
      </c>
      <c r="E310" s="121">
        <f t="shared" si="29"/>
        <v>31</v>
      </c>
      <c r="F310" s="124"/>
      <c r="G310" s="125"/>
      <c r="H310" s="125"/>
      <c r="I310" s="125"/>
      <c r="J310" s="125"/>
      <c r="K310" s="136"/>
      <c r="L310" s="125"/>
      <c r="M310" s="125" t="str">
        <f>IFERROR(_xlfn.XLOOKUP($A310,Input_Raw!$A:$A,Input_Raw!CG:CG),"")</f>
        <v/>
      </c>
      <c r="N310" s="125" t="str">
        <f>IFERROR(_xlfn.XLOOKUP($A310,Input_Raw!$A:$A,Input_Raw!CH:CH),"")</f>
        <v/>
      </c>
      <c r="O310" s="137" t="str">
        <f t="shared" si="30"/>
        <v/>
      </c>
      <c r="P310" s="137" t="str">
        <f>IFERROR(1-SUMIF(WTG_BD!$F:$F,$A310,WTG_BD!$AA:$AA)/($AA310+SUMIF(WTG_BD!$F:$F,$A310,WTG_BD!$AA:$AA)),"")</f>
        <v/>
      </c>
      <c r="Q310" s="138" t="str">
        <f>IFERROR(1-SUMIF(IGA_BD!$F:$F,$A310,IGA_BD!$V:$V)/($AA310+SUMIF(IGA_BD!$F:$F,$A310,IGA_BD!$V:$V)),"")</f>
        <v/>
      </c>
      <c r="R310" s="143" t="str">
        <f>IFERROR(1-SUMIF(Grid_BD!$F:$F,$A310,Grid_BD!$X:$X)/($AA310+SUMIF(Grid_BD!$F:$F,$A310,Grid_BD!$X:$X)),"")</f>
        <v/>
      </c>
      <c r="S310" s="121"/>
      <c r="T310" s="138"/>
      <c r="U310" s="139"/>
      <c r="V310" s="121"/>
      <c r="W310" s="140" t="str">
        <f>IFERROR(Table13[[#This Row],[Mtr_Net_Exp (KWh)]]/(24*AR310*1000),"")</f>
        <v/>
      </c>
      <c r="X310" s="121" t="str">
        <f>IFERROR(_xlfn.XLOOKUP($A310,Input_Raw!$A:$A,Input_Raw!$CF:$CF),"")</f>
        <v/>
      </c>
      <c r="Y310" s="121" t="str">
        <f>IFERROR(_xlfn.XLOOKUP($A310,Input_Raw!$A:$A,Input_Raw!$CZ:$CZ),"")</f>
        <v/>
      </c>
      <c r="Z310" s="121" t="str">
        <f>IFERROR(_xlfn.XLOOKUP($A310,Input_Raw!$A:$A,Input_Raw!$DA:$DA),"")</f>
        <v/>
      </c>
      <c r="AA310" s="123" t="str">
        <f t="shared" si="31"/>
        <v/>
      </c>
      <c r="AB310" s="121" t="str">
        <f>IFERROR(_xlfn.XLOOKUP($A310,Input_Raw!$A:$A,Input_Raw!$DG:$DG),"")</f>
        <v/>
      </c>
      <c r="AC310" s="141">
        <f>IFERROR(_xlfn.XLOOKUP($D310,'Modelling New'!$D:$D,'Modelling New'!$J:$J),"")</f>
        <v>3.8</v>
      </c>
      <c r="AD310" s="123">
        <f>IFERROR(_xlfn.XLOOKUP($D310,'Modelling New'!$D:$D,'Modelling New'!$T:$T)*1000,"")</f>
        <v>128093.39599615177</v>
      </c>
      <c r="AE310" s="140"/>
      <c r="AF310" s="140">
        <f>IFERROR(_xlfn.XLOOKUP($D310,'Modelling New'!$D:$D,'Modelling New'!$W:$W),"")</f>
        <v>6.8425959399653721E-2</v>
      </c>
      <c r="AG310" s="140">
        <f>IFERROR(_xlfn.XLOOKUP($D310,'Modelling New'!$D:$D,'Modelling New'!$AE:$AE),"")</f>
        <v>0.96029999999999993</v>
      </c>
      <c r="AH310" s="140">
        <f>IFERROR(_xlfn.XLOOKUP($D310,'Modelling New'!$D:$D,'Modelling New'!$AF:$AF),"")</f>
        <v>0.995</v>
      </c>
      <c r="AI310" s="121" t="str">
        <f>IFERROR(_xlfn.XLOOKUP($A310,Input_Raw!$A:$A,Input_Raw!$DE:$DE),"")</f>
        <v/>
      </c>
      <c r="AJ310" s="121"/>
      <c r="AK310" s="121"/>
      <c r="AL310" s="121"/>
      <c r="AM310" s="121"/>
      <c r="AN310" s="142" t="str">
        <f>IFERROR(_xlfn.XLOOKUP($A310,Input_Raw!$A:$A,Input_Raw!$DB:$DB),"")</f>
        <v/>
      </c>
      <c r="AO310" s="140" t="str">
        <f>IFERROR((_xlfn.XLOOKUP($A310,'WTG Reactive Power'!$A:$A,'WTG Reactive Power'!$AR:$AR))/X310/1000,"")</f>
        <v/>
      </c>
      <c r="AP310" s="140">
        <f>IFERROR(_xlfn.XLOOKUP($D310,'Modelling New'!$D:$D,'Modelling New'!$AK:$AK),"")</f>
        <v>0.05</v>
      </c>
      <c r="AQ310" s="140">
        <f>IFERROR(_xlfn.XLOOKUP($D310,'Modelling New'!$D:$D,'Modelling New'!$AL:$AL),"")</f>
        <v>0.05</v>
      </c>
      <c r="AR310">
        <f>IFERROR(_xlfn.XLOOKUP($D310,'Modelling New'!$D:$D,'Modelling New'!$N:$N),"")</f>
        <v>78</v>
      </c>
    </row>
    <row r="311" spans="1:44">
      <c r="A311" s="134">
        <f t="shared" si="32"/>
        <v>46054</v>
      </c>
      <c r="B311" s="123">
        <f>YEAR(Table13[[#This Row],[Date]])+IF(MONTH(Table13[[#This Row],[Date]])&gt;=4,1,0)</f>
        <v>2026</v>
      </c>
      <c r="C311" s="121">
        <f>YEAR(Table13[[#This Row],[Date]])</f>
        <v>2026</v>
      </c>
      <c r="D311" s="135">
        <f>Table13[[#This Row],[Date]]-DAY(Table13[[#This Row],[Date]])+1</f>
        <v>46054</v>
      </c>
      <c r="E311" s="121">
        <f t="shared" si="29"/>
        <v>28</v>
      </c>
      <c r="F311" s="124"/>
      <c r="G311" s="125"/>
      <c r="H311" s="125"/>
      <c r="I311" s="125"/>
      <c r="J311" s="125"/>
      <c r="K311" s="136"/>
      <c r="L311" s="125"/>
      <c r="M311" s="125" t="str">
        <f>IFERROR(_xlfn.XLOOKUP($A311,Input_Raw!$A:$A,Input_Raw!CG:CG),"")</f>
        <v/>
      </c>
      <c r="N311" s="125" t="str">
        <f>IFERROR(_xlfn.XLOOKUP($A311,Input_Raw!$A:$A,Input_Raw!CH:CH),"")</f>
        <v/>
      </c>
      <c r="O311" s="137" t="str">
        <f t="shared" si="30"/>
        <v/>
      </c>
      <c r="P311" s="137" t="str">
        <f>IFERROR(1-SUMIF(WTG_BD!$F:$F,$A311,WTG_BD!$AA:$AA)/($AA311+SUMIF(WTG_BD!$F:$F,$A311,WTG_BD!$AA:$AA)),"")</f>
        <v/>
      </c>
      <c r="Q311" s="138" t="str">
        <f>IFERROR(1-SUMIF(IGA_BD!$F:$F,$A311,IGA_BD!$V:$V)/($AA311+SUMIF(IGA_BD!$F:$F,$A311,IGA_BD!$V:$V)),"")</f>
        <v/>
      </c>
      <c r="R311" s="143" t="str">
        <f>IFERROR(1-SUMIF(Grid_BD!$F:$F,$A311,Grid_BD!$X:$X)/($AA311+SUMIF(Grid_BD!$F:$F,$A311,Grid_BD!$X:$X)),"")</f>
        <v/>
      </c>
      <c r="S311" s="121"/>
      <c r="T311" s="138"/>
      <c r="U311" s="139"/>
      <c r="V311" s="121"/>
      <c r="W311" s="140" t="str">
        <f>IFERROR(Table13[[#This Row],[Mtr_Net_Exp (KWh)]]/(24*AR311*1000),"")</f>
        <v/>
      </c>
      <c r="X311" s="121" t="str">
        <f>IFERROR(_xlfn.XLOOKUP($A311,Input_Raw!$A:$A,Input_Raw!$CF:$CF),"")</f>
        <v/>
      </c>
      <c r="Y311" s="121" t="str">
        <f>IFERROR(_xlfn.XLOOKUP($A311,Input_Raw!$A:$A,Input_Raw!$CZ:$CZ),"")</f>
        <v/>
      </c>
      <c r="Z311" s="121" t="str">
        <f>IFERROR(_xlfn.XLOOKUP($A311,Input_Raw!$A:$A,Input_Raw!$DA:$DA),"")</f>
        <v/>
      </c>
      <c r="AA311" s="123" t="str">
        <f t="shared" si="31"/>
        <v/>
      </c>
      <c r="AB311" s="121" t="str">
        <f>IFERROR(_xlfn.XLOOKUP($A311,Input_Raw!$A:$A,Input_Raw!$DG:$DG),"")</f>
        <v/>
      </c>
      <c r="AC311" s="141">
        <f>IFERROR(_xlfn.XLOOKUP($D311,'Modelling New'!$D:$D,'Modelling New'!$J:$J),"")</f>
        <v>4.3</v>
      </c>
      <c r="AD311" s="123">
        <f>IFERROR(_xlfn.XLOOKUP($D311,'Modelling New'!$D:$D,'Modelling New'!$T:$T)*1000,"")</f>
        <v>171913.60080596086</v>
      </c>
      <c r="AE311" s="140"/>
      <c r="AF311" s="140">
        <f>IFERROR(_xlfn.XLOOKUP($D311,'Modelling New'!$D:$D,'Modelling New'!$W:$W),"")</f>
        <v>9.1834188464722688E-2</v>
      </c>
      <c r="AG311" s="140">
        <f>IFERROR(_xlfn.XLOOKUP($D311,'Modelling New'!$D:$D,'Modelling New'!$AE:$AE),"")</f>
        <v>0.96029999999999993</v>
      </c>
      <c r="AH311" s="140">
        <f>IFERROR(_xlfn.XLOOKUP($D311,'Modelling New'!$D:$D,'Modelling New'!$AF:$AF),"")</f>
        <v>0.995</v>
      </c>
      <c r="AI311" s="121" t="str">
        <f>IFERROR(_xlfn.XLOOKUP($A311,Input_Raw!$A:$A,Input_Raw!$DE:$DE),"")</f>
        <v/>
      </c>
      <c r="AJ311" s="121"/>
      <c r="AK311" s="121"/>
      <c r="AL311" s="121"/>
      <c r="AM311" s="121"/>
      <c r="AN311" s="142" t="str">
        <f>IFERROR(_xlfn.XLOOKUP($A311,Input_Raw!$A:$A,Input_Raw!$DB:$DB),"")</f>
        <v/>
      </c>
      <c r="AO311" s="140" t="str">
        <f>IFERROR((_xlfn.XLOOKUP($A311,'WTG Reactive Power'!$A:$A,'WTG Reactive Power'!$AR:$AR))/X311/1000,"")</f>
        <v/>
      </c>
      <c r="AP311" s="140">
        <f>IFERROR(_xlfn.XLOOKUP($D311,'Modelling New'!$D:$D,'Modelling New'!$AK:$AK),"")</f>
        <v>0.05</v>
      </c>
      <c r="AQ311" s="140">
        <f>IFERROR(_xlfn.XLOOKUP($D311,'Modelling New'!$D:$D,'Modelling New'!$AL:$AL),"")</f>
        <v>0.05</v>
      </c>
      <c r="AR311">
        <f>IFERROR(_xlfn.XLOOKUP($D311,'Modelling New'!$D:$D,'Modelling New'!$N:$N),"")</f>
        <v>78</v>
      </c>
    </row>
    <row r="312" spans="1:44">
      <c r="A312" s="134">
        <f t="shared" si="32"/>
        <v>46055</v>
      </c>
      <c r="B312" s="123">
        <f>YEAR(Table13[[#This Row],[Date]])+IF(MONTH(Table13[[#This Row],[Date]])&gt;=4,1,0)</f>
        <v>2026</v>
      </c>
      <c r="C312" s="121">
        <f>YEAR(Table13[[#This Row],[Date]])</f>
        <v>2026</v>
      </c>
      <c r="D312" s="135">
        <f>Table13[[#This Row],[Date]]-DAY(Table13[[#This Row],[Date]])+1</f>
        <v>46054</v>
      </c>
      <c r="E312" s="121">
        <f t="shared" si="29"/>
        <v>28</v>
      </c>
      <c r="F312" s="124"/>
      <c r="G312" s="125"/>
      <c r="H312" s="125"/>
      <c r="I312" s="125"/>
      <c r="J312" s="125"/>
      <c r="K312" s="136"/>
      <c r="L312" s="125"/>
      <c r="M312" s="125" t="str">
        <f>IFERROR(_xlfn.XLOOKUP($A312,Input_Raw!$A:$A,Input_Raw!CG:CG),"")</f>
        <v/>
      </c>
      <c r="N312" s="125" t="str">
        <f>IFERROR(_xlfn.XLOOKUP($A312,Input_Raw!$A:$A,Input_Raw!CH:CH),"")</f>
        <v/>
      </c>
      <c r="O312" s="137" t="str">
        <f t="shared" si="30"/>
        <v/>
      </c>
      <c r="P312" s="137" t="str">
        <f>IFERROR(1-SUMIF(WTG_BD!$F:$F,$A312,WTG_BD!$AA:$AA)/($AA312+SUMIF(WTG_BD!$F:$F,$A312,WTG_BD!$AA:$AA)),"")</f>
        <v/>
      </c>
      <c r="Q312" s="138" t="str">
        <f>IFERROR(1-SUMIF(IGA_BD!$F:$F,$A312,IGA_BD!$V:$V)/($AA312+SUMIF(IGA_BD!$F:$F,$A312,IGA_BD!$V:$V)),"")</f>
        <v/>
      </c>
      <c r="R312" s="143" t="str">
        <f>IFERROR(1-SUMIF(Grid_BD!$F:$F,$A312,Grid_BD!$X:$X)/($AA312+SUMIF(Grid_BD!$F:$F,$A312,Grid_BD!$X:$X)),"")</f>
        <v/>
      </c>
      <c r="S312" s="121"/>
      <c r="T312" s="138"/>
      <c r="U312" s="139"/>
      <c r="V312" s="121"/>
      <c r="W312" s="140" t="str">
        <f>IFERROR(Table13[[#This Row],[Mtr_Net_Exp (KWh)]]/(24*AR312*1000),"")</f>
        <v/>
      </c>
      <c r="X312" s="121" t="str">
        <f>IFERROR(_xlfn.XLOOKUP($A312,Input_Raw!$A:$A,Input_Raw!$CF:$CF),"")</f>
        <v/>
      </c>
      <c r="Y312" s="121" t="str">
        <f>IFERROR(_xlfn.XLOOKUP($A312,Input_Raw!$A:$A,Input_Raw!$CZ:$CZ),"")</f>
        <v/>
      </c>
      <c r="Z312" s="121" t="str">
        <f>IFERROR(_xlfn.XLOOKUP($A312,Input_Raw!$A:$A,Input_Raw!$DA:$DA),"")</f>
        <v/>
      </c>
      <c r="AA312" s="123" t="str">
        <f t="shared" si="31"/>
        <v/>
      </c>
      <c r="AB312" s="121" t="str">
        <f>IFERROR(_xlfn.XLOOKUP($A312,Input_Raw!$A:$A,Input_Raw!$DG:$DG),"")</f>
        <v/>
      </c>
      <c r="AC312" s="141">
        <f>IFERROR(_xlfn.XLOOKUP($D312,'Modelling New'!$D:$D,'Modelling New'!$J:$J),"")</f>
        <v>4.3</v>
      </c>
      <c r="AD312" s="123">
        <f>IFERROR(_xlfn.XLOOKUP($D312,'Modelling New'!$D:$D,'Modelling New'!$T:$T)*1000,"")</f>
        <v>171913.60080596086</v>
      </c>
      <c r="AE312" s="140"/>
      <c r="AF312" s="140">
        <f>IFERROR(_xlfn.XLOOKUP($D312,'Modelling New'!$D:$D,'Modelling New'!$W:$W),"")</f>
        <v>9.1834188464722688E-2</v>
      </c>
      <c r="AG312" s="140">
        <f>IFERROR(_xlfn.XLOOKUP($D312,'Modelling New'!$D:$D,'Modelling New'!$AE:$AE),"")</f>
        <v>0.96029999999999993</v>
      </c>
      <c r="AH312" s="140">
        <f>IFERROR(_xlfn.XLOOKUP($D312,'Modelling New'!$D:$D,'Modelling New'!$AF:$AF),"")</f>
        <v>0.995</v>
      </c>
      <c r="AI312" s="121" t="str">
        <f>IFERROR(_xlfn.XLOOKUP($A312,Input_Raw!$A:$A,Input_Raw!$DE:$DE),"")</f>
        <v/>
      </c>
      <c r="AJ312" s="121"/>
      <c r="AK312" s="121"/>
      <c r="AL312" s="121"/>
      <c r="AM312" s="121"/>
      <c r="AN312" s="142" t="str">
        <f>IFERROR(_xlfn.XLOOKUP($A312,Input_Raw!$A:$A,Input_Raw!$DB:$DB),"")</f>
        <v/>
      </c>
      <c r="AO312" s="140" t="str">
        <f>IFERROR((_xlfn.XLOOKUP($A312,'WTG Reactive Power'!$A:$A,'WTG Reactive Power'!$AR:$AR))/X312/1000,"")</f>
        <v/>
      </c>
      <c r="AP312" s="140">
        <f>IFERROR(_xlfn.XLOOKUP($D312,'Modelling New'!$D:$D,'Modelling New'!$AK:$AK),"")</f>
        <v>0.05</v>
      </c>
      <c r="AQ312" s="140">
        <f>IFERROR(_xlfn.XLOOKUP($D312,'Modelling New'!$D:$D,'Modelling New'!$AL:$AL),"")</f>
        <v>0.05</v>
      </c>
      <c r="AR312">
        <f>IFERROR(_xlfn.XLOOKUP($D312,'Modelling New'!$D:$D,'Modelling New'!$N:$N),"")</f>
        <v>78</v>
      </c>
    </row>
    <row r="313" spans="1:44">
      <c r="A313" s="134">
        <f t="shared" si="32"/>
        <v>46056</v>
      </c>
      <c r="B313" s="123">
        <f>YEAR(Table13[[#This Row],[Date]])+IF(MONTH(Table13[[#This Row],[Date]])&gt;=4,1,0)</f>
        <v>2026</v>
      </c>
      <c r="C313" s="121">
        <f>YEAR(Table13[[#This Row],[Date]])</f>
        <v>2026</v>
      </c>
      <c r="D313" s="135">
        <f>Table13[[#This Row],[Date]]-DAY(Table13[[#This Row],[Date]])+1</f>
        <v>46054</v>
      </c>
      <c r="E313" s="121">
        <f t="shared" si="29"/>
        <v>28</v>
      </c>
      <c r="F313" s="124"/>
      <c r="G313" s="125"/>
      <c r="H313" s="125"/>
      <c r="I313" s="125"/>
      <c r="J313" s="125"/>
      <c r="K313" s="136"/>
      <c r="L313" s="125"/>
      <c r="M313" s="125" t="str">
        <f>IFERROR(_xlfn.XLOOKUP($A313,Input_Raw!$A:$A,Input_Raw!CG:CG),"")</f>
        <v/>
      </c>
      <c r="N313" s="125" t="str">
        <f>IFERROR(_xlfn.XLOOKUP($A313,Input_Raw!$A:$A,Input_Raw!CH:CH),"")</f>
        <v/>
      </c>
      <c r="O313" s="137" t="str">
        <f t="shared" si="30"/>
        <v/>
      </c>
      <c r="P313" s="137" t="str">
        <f>IFERROR(1-SUMIF(WTG_BD!$F:$F,$A313,WTG_BD!$AA:$AA)/($AA313+SUMIF(WTG_BD!$F:$F,$A313,WTG_BD!$AA:$AA)),"")</f>
        <v/>
      </c>
      <c r="Q313" s="138" t="str">
        <f>IFERROR(1-SUMIF(IGA_BD!$F:$F,$A313,IGA_BD!$V:$V)/($AA313+SUMIF(IGA_BD!$F:$F,$A313,IGA_BD!$V:$V)),"")</f>
        <v/>
      </c>
      <c r="R313" s="143" t="str">
        <f>IFERROR(1-SUMIF(Grid_BD!$F:$F,$A313,Grid_BD!$X:$X)/($AA313+SUMIF(Grid_BD!$F:$F,$A313,Grid_BD!$X:$X)),"")</f>
        <v/>
      </c>
      <c r="S313" s="121"/>
      <c r="T313" s="138"/>
      <c r="U313" s="139"/>
      <c r="V313" s="121"/>
      <c r="W313" s="140" t="str">
        <f>IFERROR(Table13[[#This Row],[Mtr_Net_Exp (KWh)]]/(24*AR313*1000),"")</f>
        <v/>
      </c>
      <c r="X313" s="121" t="str">
        <f>IFERROR(_xlfn.XLOOKUP($A313,Input_Raw!$A:$A,Input_Raw!$CF:$CF),"")</f>
        <v/>
      </c>
      <c r="Y313" s="121" t="str">
        <f>IFERROR(_xlfn.XLOOKUP($A313,Input_Raw!$A:$A,Input_Raw!$CZ:$CZ),"")</f>
        <v/>
      </c>
      <c r="Z313" s="121" t="str">
        <f>IFERROR(_xlfn.XLOOKUP($A313,Input_Raw!$A:$A,Input_Raw!$DA:$DA),"")</f>
        <v/>
      </c>
      <c r="AA313" s="123" t="str">
        <f t="shared" si="31"/>
        <v/>
      </c>
      <c r="AB313" s="121" t="str">
        <f>IFERROR(_xlfn.XLOOKUP($A313,Input_Raw!$A:$A,Input_Raw!$DG:$DG),"")</f>
        <v/>
      </c>
      <c r="AC313" s="141">
        <f>IFERROR(_xlfn.XLOOKUP($D313,'Modelling New'!$D:$D,'Modelling New'!$J:$J),"")</f>
        <v>4.3</v>
      </c>
      <c r="AD313" s="123">
        <f>IFERROR(_xlfn.XLOOKUP($D313,'Modelling New'!$D:$D,'Modelling New'!$T:$T)*1000,"")</f>
        <v>171913.60080596086</v>
      </c>
      <c r="AE313" s="140"/>
      <c r="AF313" s="140">
        <f>IFERROR(_xlfn.XLOOKUP($D313,'Modelling New'!$D:$D,'Modelling New'!$W:$W),"")</f>
        <v>9.1834188464722688E-2</v>
      </c>
      <c r="AG313" s="140">
        <f>IFERROR(_xlfn.XLOOKUP($D313,'Modelling New'!$D:$D,'Modelling New'!$AE:$AE),"")</f>
        <v>0.96029999999999993</v>
      </c>
      <c r="AH313" s="140">
        <f>IFERROR(_xlfn.XLOOKUP($D313,'Modelling New'!$D:$D,'Modelling New'!$AF:$AF),"")</f>
        <v>0.995</v>
      </c>
      <c r="AI313" s="121" t="str">
        <f>IFERROR(_xlfn.XLOOKUP($A313,Input_Raw!$A:$A,Input_Raw!$DE:$DE),"")</f>
        <v/>
      </c>
      <c r="AJ313" s="121"/>
      <c r="AK313" s="121"/>
      <c r="AL313" s="121"/>
      <c r="AM313" s="121"/>
      <c r="AN313" s="142" t="str">
        <f>IFERROR(_xlfn.XLOOKUP($A313,Input_Raw!$A:$A,Input_Raw!$DB:$DB),"")</f>
        <v/>
      </c>
      <c r="AO313" s="140" t="str">
        <f>IFERROR((_xlfn.XLOOKUP($A313,'WTG Reactive Power'!$A:$A,'WTG Reactive Power'!$AR:$AR))/X313/1000,"")</f>
        <v/>
      </c>
      <c r="AP313" s="140">
        <f>IFERROR(_xlfn.XLOOKUP($D313,'Modelling New'!$D:$D,'Modelling New'!$AK:$AK),"")</f>
        <v>0.05</v>
      </c>
      <c r="AQ313" s="140">
        <f>IFERROR(_xlfn.XLOOKUP($D313,'Modelling New'!$D:$D,'Modelling New'!$AL:$AL),"")</f>
        <v>0.05</v>
      </c>
      <c r="AR313">
        <f>IFERROR(_xlfn.XLOOKUP($D313,'Modelling New'!$D:$D,'Modelling New'!$N:$N),"")</f>
        <v>78</v>
      </c>
    </row>
    <row r="314" spans="1:44">
      <c r="A314" s="134">
        <f t="shared" si="32"/>
        <v>46057</v>
      </c>
      <c r="B314" s="123">
        <f>YEAR(Table13[[#This Row],[Date]])+IF(MONTH(Table13[[#This Row],[Date]])&gt;=4,1,0)</f>
        <v>2026</v>
      </c>
      <c r="C314" s="121">
        <f>YEAR(Table13[[#This Row],[Date]])</f>
        <v>2026</v>
      </c>
      <c r="D314" s="135">
        <f>Table13[[#This Row],[Date]]-DAY(Table13[[#This Row],[Date]])+1</f>
        <v>46054</v>
      </c>
      <c r="E314" s="121">
        <f t="shared" si="29"/>
        <v>28</v>
      </c>
      <c r="F314" s="124"/>
      <c r="G314" s="125"/>
      <c r="H314" s="125"/>
      <c r="I314" s="125"/>
      <c r="J314" s="125"/>
      <c r="K314" s="136"/>
      <c r="L314" s="125"/>
      <c r="M314" s="125" t="str">
        <f>IFERROR(_xlfn.XLOOKUP($A314,Input_Raw!$A:$A,Input_Raw!CG:CG),"")</f>
        <v/>
      </c>
      <c r="N314" s="125" t="str">
        <f>IFERROR(_xlfn.XLOOKUP($A314,Input_Raw!$A:$A,Input_Raw!CH:CH),"")</f>
        <v/>
      </c>
      <c r="O314" s="137" t="str">
        <f t="shared" si="30"/>
        <v/>
      </c>
      <c r="P314" s="137" t="str">
        <f>IFERROR(1-SUMIF(WTG_BD!$F:$F,$A314,WTG_BD!$AA:$AA)/($AA314+SUMIF(WTG_BD!$F:$F,$A314,WTG_BD!$AA:$AA)),"")</f>
        <v/>
      </c>
      <c r="Q314" s="138" t="str">
        <f>IFERROR(1-SUMIF(IGA_BD!$F:$F,$A314,IGA_BD!$V:$V)/($AA314+SUMIF(IGA_BD!$F:$F,$A314,IGA_BD!$V:$V)),"")</f>
        <v/>
      </c>
      <c r="R314" s="143" t="str">
        <f>IFERROR(1-SUMIF(Grid_BD!$F:$F,$A314,Grid_BD!$X:$X)/($AA314+SUMIF(Grid_BD!$F:$F,$A314,Grid_BD!$X:$X)),"")</f>
        <v/>
      </c>
      <c r="S314" s="121"/>
      <c r="T314" s="138"/>
      <c r="U314" s="139"/>
      <c r="V314" s="121"/>
      <c r="W314" s="140" t="str">
        <f>IFERROR(Table13[[#This Row],[Mtr_Net_Exp (KWh)]]/(24*AR314*1000),"")</f>
        <v/>
      </c>
      <c r="X314" s="121" t="str">
        <f>IFERROR(_xlfn.XLOOKUP($A314,Input_Raw!$A:$A,Input_Raw!$CF:$CF),"")</f>
        <v/>
      </c>
      <c r="Y314" s="121" t="str">
        <f>IFERROR(_xlfn.XLOOKUP($A314,Input_Raw!$A:$A,Input_Raw!$CZ:$CZ),"")</f>
        <v/>
      </c>
      <c r="Z314" s="121" t="str">
        <f>IFERROR(_xlfn.XLOOKUP($A314,Input_Raw!$A:$A,Input_Raw!$DA:$DA),"")</f>
        <v/>
      </c>
      <c r="AA314" s="123" t="str">
        <f t="shared" si="31"/>
        <v/>
      </c>
      <c r="AB314" s="121" t="str">
        <f>IFERROR(_xlfn.XLOOKUP($A314,Input_Raw!$A:$A,Input_Raw!$DG:$DG),"")</f>
        <v/>
      </c>
      <c r="AC314" s="141">
        <f>IFERROR(_xlfn.XLOOKUP($D314,'Modelling New'!$D:$D,'Modelling New'!$J:$J),"")</f>
        <v>4.3</v>
      </c>
      <c r="AD314" s="123">
        <f>IFERROR(_xlfn.XLOOKUP($D314,'Modelling New'!$D:$D,'Modelling New'!$T:$T)*1000,"")</f>
        <v>171913.60080596086</v>
      </c>
      <c r="AE314" s="140"/>
      <c r="AF314" s="140">
        <f>IFERROR(_xlfn.XLOOKUP($D314,'Modelling New'!$D:$D,'Modelling New'!$W:$W),"")</f>
        <v>9.1834188464722688E-2</v>
      </c>
      <c r="AG314" s="140">
        <f>IFERROR(_xlfn.XLOOKUP($D314,'Modelling New'!$D:$D,'Modelling New'!$AE:$AE),"")</f>
        <v>0.96029999999999993</v>
      </c>
      <c r="AH314" s="140">
        <f>IFERROR(_xlfn.XLOOKUP($D314,'Modelling New'!$D:$D,'Modelling New'!$AF:$AF),"")</f>
        <v>0.995</v>
      </c>
      <c r="AI314" s="121" t="str">
        <f>IFERROR(_xlfn.XLOOKUP($A314,Input_Raw!$A:$A,Input_Raw!$DE:$DE),"")</f>
        <v/>
      </c>
      <c r="AJ314" s="121"/>
      <c r="AK314" s="121"/>
      <c r="AL314" s="121"/>
      <c r="AM314" s="121"/>
      <c r="AN314" s="142" t="str">
        <f>IFERROR(_xlfn.XLOOKUP($A314,Input_Raw!$A:$A,Input_Raw!$DB:$DB),"")</f>
        <v/>
      </c>
      <c r="AO314" s="140" t="str">
        <f>IFERROR((_xlfn.XLOOKUP($A314,'WTG Reactive Power'!$A:$A,'WTG Reactive Power'!$AR:$AR))/X314/1000,"")</f>
        <v/>
      </c>
      <c r="AP314" s="140">
        <f>IFERROR(_xlfn.XLOOKUP($D314,'Modelling New'!$D:$D,'Modelling New'!$AK:$AK),"")</f>
        <v>0.05</v>
      </c>
      <c r="AQ314" s="140">
        <f>IFERROR(_xlfn.XLOOKUP($D314,'Modelling New'!$D:$D,'Modelling New'!$AL:$AL),"")</f>
        <v>0.05</v>
      </c>
      <c r="AR314">
        <f>IFERROR(_xlfn.XLOOKUP($D314,'Modelling New'!$D:$D,'Modelling New'!$N:$N),"")</f>
        <v>78</v>
      </c>
    </row>
    <row r="315" spans="1:44">
      <c r="A315" s="134">
        <f t="shared" si="32"/>
        <v>46058</v>
      </c>
      <c r="B315" s="123">
        <f>YEAR(Table13[[#This Row],[Date]])+IF(MONTH(Table13[[#This Row],[Date]])&gt;=4,1,0)</f>
        <v>2026</v>
      </c>
      <c r="C315" s="121">
        <f>YEAR(Table13[[#This Row],[Date]])</f>
        <v>2026</v>
      </c>
      <c r="D315" s="135">
        <f>Table13[[#This Row],[Date]]-DAY(Table13[[#This Row],[Date]])+1</f>
        <v>46054</v>
      </c>
      <c r="E315" s="121">
        <f t="shared" si="29"/>
        <v>28</v>
      </c>
      <c r="F315" s="124"/>
      <c r="G315" s="125"/>
      <c r="H315" s="125"/>
      <c r="I315" s="125"/>
      <c r="J315" s="125"/>
      <c r="K315" s="136"/>
      <c r="L315" s="125"/>
      <c r="M315" s="125" t="str">
        <f>IFERROR(_xlfn.XLOOKUP($A315,Input_Raw!$A:$A,Input_Raw!CG:CG),"")</f>
        <v/>
      </c>
      <c r="N315" s="125" t="str">
        <f>IFERROR(_xlfn.XLOOKUP($A315,Input_Raw!$A:$A,Input_Raw!CH:CH),"")</f>
        <v/>
      </c>
      <c r="O315" s="137" t="str">
        <f t="shared" si="30"/>
        <v/>
      </c>
      <c r="P315" s="137" t="str">
        <f>IFERROR(1-SUMIF(WTG_BD!$F:$F,$A315,WTG_BD!$AA:$AA)/($AA315+SUMIF(WTG_BD!$F:$F,$A315,WTG_BD!$AA:$AA)),"")</f>
        <v/>
      </c>
      <c r="Q315" s="138" t="str">
        <f>IFERROR(1-SUMIF(IGA_BD!$F:$F,$A315,IGA_BD!$V:$V)/($AA315+SUMIF(IGA_BD!$F:$F,$A315,IGA_BD!$V:$V)),"")</f>
        <v/>
      </c>
      <c r="R315" s="143" t="str">
        <f>IFERROR(1-SUMIF(Grid_BD!$F:$F,$A315,Grid_BD!$X:$X)/($AA315+SUMIF(Grid_BD!$F:$F,$A315,Grid_BD!$X:$X)),"")</f>
        <v/>
      </c>
      <c r="S315" s="121"/>
      <c r="T315" s="138"/>
      <c r="U315" s="139"/>
      <c r="V315" s="121"/>
      <c r="W315" s="140" t="str">
        <f>IFERROR(Table13[[#This Row],[Mtr_Net_Exp (KWh)]]/(24*AR315*1000),"")</f>
        <v/>
      </c>
      <c r="X315" s="121" t="str">
        <f>IFERROR(_xlfn.XLOOKUP($A315,Input_Raw!$A:$A,Input_Raw!$CF:$CF),"")</f>
        <v/>
      </c>
      <c r="Y315" s="121" t="str">
        <f>IFERROR(_xlfn.XLOOKUP($A315,Input_Raw!$A:$A,Input_Raw!$CZ:$CZ),"")</f>
        <v/>
      </c>
      <c r="Z315" s="121" t="str">
        <f>IFERROR(_xlfn.XLOOKUP($A315,Input_Raw!$A:$A,Input_Raw!$DA:$DA),"")</f>
        <v/>
      </c>
      <c r="AA315" s="123" t="str">
        <f t="shared" si="31"/>
        <v/>
      </c>
      <c r="AB315" s="121" t="str">
        <f>IFERROR(_xlfn.XLOOKUP($A315,Input_Raw!$A:$A,Input_Raw!$DG:$DG),"")</f>
        <v/>
      </c>
      <c r="AC315" s="141">
        <f>IFERROR(_xlfn.XLOOKUP($D315,'Modelling New'!$D:$D,'Modelling New'!$J:$J),"")</f>
        <v>4.3</v>
      </c>
      <c r="AD315" s="123">
        <f>IFERROR(_xlfn.XLOOKUP($D315,'Modelling New'!$D:$D,'Modelling New'!$T:$T)*1000,"")</f>
        <v>171913.60080596086</v>
      </c>
      <c r="AE315" s="140"/>
      <c r="AF315" s="140">
        <f>IFERROR(_xlfn.XLOOKUP($D315,'Modelling New'!$D:$D,'Modelling New'!$W:$W),"")</f>
        <v>9.1834188464722688E-2</v>
      </c>
      <c r="AG315" s="140">
        <f>IFERROR(_xlfn.XLOOKUP($D315,'Modelling New'!$D:$D,'Modelling New'!$AE:$AE),"")</f>
        <v>0.96029999999999993</v>
      </c>
      <c r="AH315" s="140">
        <f>IFERROR(_xlfn.XLOOKUP($D315,'Modelling New'!$D:$D,'Modelling New'!$AF:$AF),"")</f>
        <v>0.995</v>
      </c>
      <c r="AI315" s="121" t="str">
        <f>IFERROR(_xlfn.XLOOKUP($A315,Input_Raw!$A:$A,Input_Raw!$DE:$DE),"")</f>
        <v/>
      </c>
      <c r="AJ315" s="121"/>
      <c r="AK315" s="121"/>
      <c r="AL315" s="121"/>
      <c r="AM315" s="121"/>
      <c r="AN315" s="142" t="str">
        <f>IFERROR(_xlfn.XLOOKUP($A315,Input_Raw!$A:$A,Input_Raw!$DB:$DB),"")</f>
        <v/>
      </c>
      <c r="AO315" s="140" t="str">
        <f>IFERROR((_xlfn.XLOOKUP($A315,'WTG Reactive Power'!$A:$A,'WTG Reactive Power'!$AR:$AR))/X315/1000,"")</f>
        <v/>
      </c>
      <c r="AP315" s="140">
        <f>IFERROR(_xlfn.XLOOKUP($D315,'Modelling New'!$D:$D,'Modelling New'!$AK:$AK),"")</f>
        <v>0.05</v>
      </c>
      <c r="AQ315" s="140">
        <f>IFERROR(_xlfn.XLOOKUP($D315,'Modelling New'!$D:$D,'Modelling New'!$AL:$AL),"")</f>
        <v>0.05</v>
      </c>
      <c r="AR315">
        <f>IFERROR(_xlfn.XLOOKUP($D315,'Modelling New'!$D:$D,'Modelling New'!$N:$N),"")</f>
        <v>78</v>
      </c>
    </row>
    <row r="316" spans="1:44">
      <c r="A316" s="134">
        <f t="shared" si="32"/>
        <v>46059</v>
      </c>
      <c r="B316" s="123">
        <f>YEAR(Table13[[#This Row],[Date]])+IF(MONTH(Table13[[#This Row],[Date]])&gt;=4,1,0)</f>
        <v>2026</v>
      </c>
      <c r="C316" s="121">
        <f>YEAR(Table13[[#This Row],[Date]])</f>
        <v>2026</v>
      </c>
      <c r="D316" s="135">
        <f>Table13[[#This Row],[Date]]-DAY(Table13[[#This Row],[Date]])+1</f>
        <v>46054</v>
      </c>
      <c r="E316" s="121">
        <f t="shared" si="29"/>
        <v>28</v>
      </c>
      <c r="F316" s="124"/>
      <c r="G316" s="125"/>
      <c r="H316" s="125"/>
      <c r="I316" s="125"/>
      <c r="J316" s="125"/>
      <c r="K316" s="136"/>
      <c r="L316" s="125"/>
      <c r="M316" s="125" t="str">
        <f>IFERROR(_xlfn.XLOOKUP($A316,Input_Raw!$A:$A,Input_Raw!CG:CG),"")</f>
        <v/>
      </c>
      <c r="N316" s="125" t="str">
        <f>IFERROR(_xlfn.XLOOKUP($A316,Input_Raw!$A:$A,Input_Raw!CH:CH),"")</f>
        <v/>
      </c>
      <c r="O316" s="137" t="str">
        <f t="shared" si="30"/>
        <v/>
      </c>
      <c r="P316" s="137" t="str">
        <f>IFERROR(1-SUMIF(WTG_BD!$F:$F,$A316,WTG_BD!$AA:$AA)/($AA316+SUMIF(WTG_BD!$F:$F,$A316,WTG_BD!$AA:$AA)),"")</f>
        <v/>
      </c>
      <c r="Q316" s="138" t="str">
        <f>IFERROR(1-SUMIF(IGA_BD!$F:$F,$A316,IGA_BD!$V:$V)/($AA316+SUMIF(IGA_BD!$F:$F,$A316,IGA_BD!$V:$V)),"")</f>
        <v/>
      </c>
      <c r="R316" s="143" t="str">
        <f>IFERROR(1-SUMIF(Grid_BD!$F:$F,$A316,Grid_BD!$X:$X)/($AA316+SUMIF(Grid_BD!$F:$F,$A316,Grid_BD!$X:$X)),"")</f>
        <v/>
      </c>
      <c r="S316" s="121"/>
      <c r="T316" s="138"/>
      <c r="U316" s="139"/>
      <c r="V316" s="121"/>
      <c r="W316" s="140" t="str">
        <f>IFERROR(Table13[[#This Row],[Mtr_Net_Exp (KWh)]]/(24*AR316*1000),"")</f>
        <v/>
      </c>
      <c r="X316" s="121" t="str">
        <f>IFERROR(_xlfn.XLOOKUP($A316,Input_Raw!$A:$A,Input_Raw!$CF:$CF),"")</f>
        <v/>
      </c>
      <c r="Y316" s="121" t="str">
        <f>IFERROR(_xlfn.XLOOKUP($A316,Input_Raw!$A:$A,Input_Raw!$CZ:$CZ),"")</f>
        <v/>
      </c>
      <c r="Z316" s="121" t="str">
        <f>IFERROR(_xlfn.XLOOKUP($A316,Input_Raw!$A:$A,Input_Raw!$DA:$DA),"")</f>
        <v/>
      </c>
      <c r="AA316" s="123" t="str">
        <f t="shared" si="31"/>
        <v/>
      </c>
      <c r="AB316" s="121" t="str">
        <f>IFERROR(_xlfn.XLOOKUP($A316,Input_Raw!$A:$A,Input_Raw!$DG:$DG),"")</f>
        <v/>
      </c>
      <c r="AC316" s="141">
        <f>IFERROR(_xlfn.XLOOKUP($D316,'Modelling New'!$D:$D,'Modelling New'!$J:$J),"")</f>
        <v>4.3</v>
      </c>
      <c r="AD316" s="123">
        <f>IFERROR(_xlfn.XLOOKUP($D316,'Modelling New'!$D:$D,'Modelling New'!$T:$T)*1000,"")</f>
        <v>171913.60080596086</v>
      </c>
      <c r="AE316" s="140"/>
      <c r="AF316" s="140">
        <f>IFERROR(_xlfn.XLOOKUP($D316,'Modelling New'!$D:$D,'Modelling New'!$W:$W),"")</f>
        <v>9.1834188464722688E-2</v>
      </c>
      <c r="AG316" s="140">
        <f>IFERROR(_xlfn.XLOOKUP($D316,'Modelling New'!$D:$D,'Modelling New'!$AE:$AE),"")</f>
        <v>0.96029999999999993</v>
      </c>
      <c r="AH316" s="140">
        <f>IFERROR(_xlfn.XLOOKUP($D316,'Modelling New'!$D:$D,'Modelling New'!$AF:$AF),"")</f>
        <v>0.995</v>
      </c>
      <c r="AI316" s="121" t="str">
        <f>IFERROR(_xlfn.XLOOKUP($A316,Input_Raw!$A:$A,Input_Raw!$DE:$DE),"")</f>
        <v/>
      </c>
      <c r="AJ316" s="121"/>
      <c r="AK316" s="121"/>
      <c r="AL316" s="121"/>
      <c r="AM316" s="121"/>
      <c r="AN316" s="142" t="str">
        <f>IFERROR(_xlfn.XLOOKUP($A316,Input_Raw!$A:$A,Input_Raw!$DB:$DB),"")</f>
        <v/>
      </c>
      <c r="AO316" s="140" t="str">
        <f>IFERROR((_xlfn.XLOOKUP($A316,'WTG Reactive Power'!$A:$A,'WTG Reactive Power'!$AR:$AR))/X316/1000,"")</f>
        <v/>
      </c>
      <c r="AP316" s="140">
        <f>IFERROR(_xlfn.XLOOKUP($D316,'Modelling New'!$D:$D,'Modelling New'!$AK:$AK),"")</f>
        <v>0.05</v>
      </c>
      <c r="AQ316" s="140">
        <f>IFERROR(_xlfn.XLOOKUP($D316,'Modelling New'!$D:$D,'Modelling New'!$AL:$AL),"")</f>
        <v>0.05</v>
      </c>
      <c r="AR316">
        <f>IFERROR(_xlfn.XLOOKUP($D316,'Modelling New'!$D:$D,'Modelling New'!$N:$N),"")</f>
        <v>78</v>
      </c>
    </row>
    <row r="317" spans="1:44">
      <c r="A317" s="134">
        <f t="shared" si="32"/>
        <v>46060</v>
      </c>
      <c r="B317" s="123">
        <f>YEAR(Table13[[#This Row],[Date]])+IF(MONTH(Table13[[#This Row],[Date]])&gt;=4,1,0)</f>
        <v>2026</v>
      </c>
      <c r="C317" s="121">
        <f>YEAR(Table13[[#This Row],[Date]])</f>
        <v>2026</v>
      </c>
      <c r="D317" s="135">
        <f>Table13[[#This Row],[Date]]-DAY(Table13[[#This Row],[Date]])+1</f>
        <v>46054</v>
      </c>
      <c r="E317" s="121">
        <f t="shared" si="29"/>
        <v>28</v>
      </c>
      <c r="F317" s="124"/>
      <c r="G317" s="125"/>
      <c r="H317" s="125"/>
      <c r="I317" s="125"/>
      <c r="J317" s="125"/>
      <c r="K317" s="136"/>
      <c r="L317" s="125"/>
      <c r="M317" s="125" t="str">
        <f>IFERROR(_xlfn.XLOOKUP($A317,Input_Raw!$A:$A,Input_Raw!CG:CG),"")</f>
        <v/>
      </c>
      <c r="N317" s="125" t="str">
        <f>IFERROR(_xlfn.XLOOKUP($A317,Input_Raw!$A:$A,Input_Raw!CH:CH),"")</f>
        <v/>
      </c>
      <c r="O317" s="137" t="str">
        <f t="shared" si="30"/>
        <v/>
      </c>
      <c r="P317" s="137" t="str">
        <f>IFERROR(1-SUMIF(WTG_BD!$F:$F,$A317,WTG_BD!$AA:$AA)/($AA317+SUMIF(WTG_BD!$F:$F,$A317,WTG_BD!$AA:$AA)),"")</f>
        <v/>
      </c>
      <c r="Q317" s="138" t="str">
        <f>IFERROR(1-SUMIF(IGA_BD!$F:$F,$A317,IGA_BD!$V:$V)/($AA317+SUMIF(IGA_BD!$F:$F,$A317,IGA_BD!$V:$V)),"")</f>
        <v/>
      </c>
      <c r="R317" s="143" t="str">
        <f>IFERROR(1-SUMIF(Grid_BD!$F:$F,$A317,Grid_BD!$X:$X)/($AA317+SUMIF(Grid_BD!$F:$F,$A317,Grid_BD!$X:$X)),"")</f>
        <v/>
      </c>
      <c r="S317" s="121"/>
      <c r="T317" s="138"/>
      <c r="U317" s="139"/>
      <c r="V317" s="121"/>
      <c r="W317" s="140" t="str">
        <f>IFERROR(Table13[[#This Row],[Mtr_Net_Exp (KWh)]]/(24*AR317*1000),"")</f>
        <v/>
      </c>
      <c r="X317" s="121" t="str">
        <f>IFERROR(_xlfn.XLOOKUP($A317,Input_Raw!$A:$A,Input_Raw!$CF:$CF),"")</f>
        <v/>
      </c>
      <c r="Y317" s="121" t="str">
        <f>IFERROR(_xlfn.XLOOKUP($A317,Input_Raw!$A:$A,Input_Raw!$CZ:$CZ),"")</f>
        <v/>
      </c>
      <c r="Z317" s="121" t="str">
        <f>IFERROR(_xlfn.XLOOKUP($A317,Input_Raw!$A:$A,Input_Raw!$DA:$DA),"")</f>
        <v/>
      </c>
      <c r="AA317" s="123" t="str">
        <f t="shared" si="31"/>
        <v/>
      </c>
      <c r="AB317" s="121" t="str">
        <f>IFERROR(_xlfn.XLOOKUP($A317,Input_Raw!$A:$A,Input_Raw!$DG:$DG),"")</f>
        <v/>
      </c>
      <c r="AC317" s="141">
        <f>IFERROR(_xlfn.XLOOKUP($D317,'Modelling New'!$D:$D,'Modelling New'!$J:$J),"")</f>
        <v>4.3</v>
      </c>
      <c r="AD317" s="123">
        <f>IFERROR(_xlfn.XLOOKUP($D317,'Modelling New'!$D:$D,'Modelling New'!$T:$T)*1000,"")</f>
        <v>171913.60080596086</v>
      </c>
      <c r="AE317" s="140"/>
      <c r="AF317" s="140">
        <f>IFERROR(_xlfn.XLOOKUP($D317,'Modelling New'!$D:$D,'Modelling New'!$W:$W),"")</f>
        <v>9.1834188464722688E-2</v>
      </c>
      <c r="AG317" s="140">
        <f>IFERROR(_xlfn.XLOOKUP($D317,'Modelling New'!$D:$D,'Modelling New'!$AE:$AE),"")</f>
        <v>0.96029999999999993</v>
      </c>
      <c r="AH317" s="140">
        <f>IFERROR(_xlfn.XLOOKUP($D317,'Modelling New'!$D:$D,'Modelling New'!$AF:$AF),"")</f>
        <v>0.995</v>
      </c>
      <c r="AI317" s="121" t="str">
        <f>IFERROR(_xlfn.XLOOKUP($A317,Input_Raw!$A:$A,Input_Raw!$DE:$DE),"")</f>
        <v/>
      </c>
      <c r="AJ317" s="121"/>
      <c r="AK317" s="121"/>
      <c r="AL317" s="121"/>
      <c r="AM317" s="121"/>
      <c r="AN317" s="142" t="str">
        <f>IFERROR(_xlfn.XLOOKUP($A317,Input_Raw!$A:$A,Input_Raw!$DB:$DB),"")</f>
        <v/>
      </c>
      <c r="AO317" s="140" t="str">
        <f>IFERROR((_xlfn.XLOOKUP($A317,'WTG Reactive Power'!$A:$A,'WTG Reactive Power'!$AR:$AR))/X317/1000,"")</f>
        <v/>
      </c>
      <c r="AP317" s="140">
        <f>IFERROR(_xlfn.XLOOKUP($D317,'Modelling New'!$D:$D,'Modelling New'!$AK:$AK),"")</f>
        <v>0.05</v>
      </c>
      <c r="AQ317" s="140">
        <f>IFERROR(_xlfn.XLOOKUP($D317,'Modelling New'!$D:$D,'Modelling New'!$AL:$AL),"")</f>
        <v>0.05</v>
      </c>
      <c r="AR317">
        <f>IFERROR(_xlfn.XLOOKUP($D317,'Modelling New'!$D:$D,'Modelling New'!$N:$N),"")</f>
        <v>78</v>
      </c>
    </row>
    <row r="318" spans="1:44">
      <c r="A318" s="134">
        <f t="shared" si="32"/>
        <v>46061</v>
      </c>
      <c r="B318" s="123">
        <f>YEAR(Table13[[#This Row],[Date]])+IF(MONTH(Table13[[#This Row],[Date]])&gt;=4,1,0)</f>
        <v>2026</v>
      </c>
      <c r="C318" s="121">
        <f>YEAR(Table13[[#This Row],[Date]])</f>
        <v>2026</v>
      </c>
      <c r="D318" s="135">
        <f>Table13[[#This Row],[Date]]-DAY(Table13[[#This Row],[Date]])+1</f>
        <v>46054</v>
      </c>
      <c r="E318" s="121">
        <f t="shared" si="29"/>
        <v>28</v>
      </c>
      <c r="F318" s="124"/>
      <c r="G318" s="125"/>
      <c r="H318" s="125"/>
      <c r="I318" s="125"/>
      <c r="J318" s="125"/>
      <c r="K318" s="136"/>
      <c r="L318" s="125"/>
      <c r="M318" s="125" t="str">
        <f>IFERROR(_xlfn.XLOOKUP($A318,Input_Raw!$A:$A,Input_Raw!CG:CG),"")</f>
        <v/>
      </c>
      <c r="N318" s="125" t="str">
        <f>IFERROR(_xlfn.XLOOKUP($A318,Input_Raw!$A:$A,Input_Raw!CH:CH),"")</f>
        <v/>
      </c>
      <c r="O318" s="137" t="str">
        <f t="shared" si="30"/>
        <v/>
      </c>
      <c r="P318" s="137" t="str">
        <f>IFERROR(1-SUMIF(WTG_BD!$F:$F,$A318,WTG_BD!$AA:$AA)/($AA318+SUMIF(WTG_BD!$F:$F,$A318,WTG_BD!$AA:$AA)),"")</f>
        <v/>
      </c>
      <c r="Q318" s="138" t="str">
        <f>IFERROR(1-SUMIF(IGA_BD!$F:$F,$A318,IGA_BD!$V:$V)/($AA318+SUMIF(IGA_BD!$F:$F,$A318,IGA_BD!$V:$V)),"")</f>
        <v/>
      </c>
      <c r="R318" s="143" t="str">
        <f>IFERROR(1-SUMIF(Grid_BD!$F:$F,$A318,Grid_BD!$X:$X)/($AA318+SUMIF(Grid_BD!$F:$F,$A318,Grid_BD!$X:$X)),"")</f>
        <v/>
      </c>
      <c r="S318" s="121"/>
      <c r="T318" s="138"/>
      <c r="U318" s="139"/>
      <c r="V318" s="121"/>
      <c r="W318" s="140" t="str">
        <f>IFERROR(Table13[[#This Row],[Mtr_Net_Exp (KWh)]]/(24*AR318*1000),"")</f>
        <v/>
      </c>
      <c r="X318" s="121" t="str">
        <f>IFERROR(_xlfn.XLOOKUP($A318,Input_Raw!$A:$A,Input_Raw!$CF:$CF),"")</f>
        <v/>
      </c>
      <c r="Y318" s="121" t="str">
        <f>IFERROR(_xlfn.XLOOKUP($A318,Input_Raw!$A:$A,Input_Raw!$CZ:$CZ),"")</f>
        <v/>
      </c>
      <c r="Z318" s="121" t="str">
        <f>IFERROR(_xlfn.XLOOKUP($A318,Input_Raw!$A:$A,Input_Raw!$DA:$DA),"")</f>
        <v/>
      </c>
      <c r="AA318" s="123" t="str">
        <f t="shared" si="31"/>
        <v/>
      </c>
      <c r="AB318" s="121" t="str">
        <f>IFERROR(_xlfn.XLOOKUP($A318,Input_Raw!$A:$A,Input_Raw!$DG:$DG),"")</f>
        <v/>
      </c>
      <c r="AC318" s="141">
        <f>IFERROR(_xlfn.XLOOKUP($D318,'Modelling New'!$D:$D,'Modelling New'!$J:$J),"")</f>
        <v>4.3</v>
      </c>
      <c r="AD318" s="123">
        <f>IFERROR(_xlfn.XLOOKUP($D318,'Modelling New'!$D:$D,'Modelling New'!$T:$T)*1000,"")</f>
        <v>171913.60080596086</v>
      </c>
      <c r="AE318" s="140"/>
      <c r="AF318" s="140">
        <f>IFERROR(_xlfn.XLOOKUP($D318,'Modelling New'!$D:$D,'Modelling New'!$W:$W),"")</f>
        <v>9.1834188464722688E-2</v>
      </c>
      <c r="AG318" s="140">
        <f>IFERROR(_xlfn.XLOOKUP($D318,'Modelling New'!$D:$D,'Modelling New'!$AE:$AE),"")</f>
        <v>0.96029999999999993</v>
      </c>
      <c r="AH318" s="140">
        <f>IFERROR(_xlfn.XLOOKUP($D318,'Modelling New'!$D:$D,'Modelling New'!$AF:$AF),"")</f>
        <v>0.995</v>
      </c>
      <c r="AI318" s="121" t="str">
        <f>IFERROR(_xlfn.XLOOKUP($A318,Input_Raw!$A:$A,Input_Raw!$DE:$DE),"")</f>
        <v/>
      </c>
      <c r="AJ318" s="121"/>
      <c r="AK318" s="121"/>
      <c r="AL318" s="121"/>
      <c r="AM318" s="121"/>
      <c r="AN318" s="142" t="str">
        <f>IFERROR(_xlfn.XLOOKUP($A318,Input_Raw!$A:$A,Input_Raw!$DB:$DB),"")</f>
        <v/>
      </c>
      <c r="AO318" s="140" t="str">
        <f>IFERROR((_xlfn.XLOOKUP($A318,'WTG Reactive Power'!$A:$A,'WTG Reactive Power'!$AR:$AR))/X318/1000,"")</f>
        <v/>
      </c>
      <c r="AP318" s="140">
        <f>IFERROR(_xlfn.XLOOKUP($D318,'Modelling New'!$D:$D,'Modelling New'!$AK:$AK),"")</f>
        <v>0.05</v>
      </c>
      <c r="AQ318" s="140">
        <f>IFERROR(_xlfn.XLOOKUP($D318,'Modelling New'!$D:$D,'Modelling New'!$AL:$AL),"")</f>
        <v>0.05</v>
      </c>
      <c r="AR318">
        <f>IFERROR(_xlfn.XLOOKUP($D318,'Modelling New'!$D:$D,'Modelling New'!$N:$N),"")</f>
        <v>78</v>
      </c>
    </row>
    <row r="319" spans="1:44">
      <c r="A319" s="134">
        <f t="shared" si="32"/>
        <v>46062</v>
      </c>
      <c r="B319" s="123">
        <f>YEAR(Table13[[#This Row],[Date]])+IF(MONTH(Table13[[#This Row],[Date]])&gt;=4,1,0)</f>
        <v>2026</v>
      </c>
      <c r="C319" s="121">
        <f>YEAR(Table13[[#This Row],[Date]])</f>
        <v>2026</v>
      </c>
      <c r="D319" s="135">
        <f>Table13[[#This Row],[Date]]-DAY(Table13[[#This Row],[Date]])+1</f>
        <v>46054</v>
      </c>
      <c r="E319" s="121">
        <f t="shared" si="29"/>
        <v>28</v>
      </c>
      <c r="F319" s="124"/>
      <c r="G319" s="125"/>
      <c r="H319" s="125"/>
      <c r="I319" s="125"/>
      <c r="J319" s="125"/>
      <c r="K319" s="136"/>
      <c r="L319" s="125"/>
      <c r="M319" s="125" t="str">
        <f>IFERROR(_xlfn.XLOOKUP($A319,Input_Raw!$A:$A,Input_Raw!CG:CG),"")</f>
        <v/>
      </c>
      <c r="N319" s="125" t="str">
        <f>IFERROR(_xlfn.XLOOKUP($A319,Input_Raw!$A:$A,Input_Raw!CH:CH),"")</f>
        <v/>
      </c>
      <c r="O319" s="137" t="str">
        <f t="shared" si="30"/>
        <v/>
      </c>
      <c r="P319" s="137" t="str">
        <f>IFERROR(1-SUMIF(WTG_BD!$F:$F,$A319,WTG_BD!$AA:$AA)/($AA319+SUMIF(WTG_BD!$F:$F,$A319,WTG_BD!$AA:$AA)),"")</f>
        <v/>
      </c>
      <c r="Q319" s="138" t="str">
        <f>IFERROR(1-SUMIF(IGA_BD!$F:$F,$A319,IGA_BD!$V:$V)/($AA319+SUMIF(IGA_BD!$F:$F,$A319,IGA_BD!$V:$V)),"")</f>
        <v/>
      </c>
      <c r="R319" s="143" t="str">
        <f>IFERROR(1-SUMIF(Grid_BD!$F:$F,$A319,Grid_BD!$X:$X)/($AA319+SUMIF(Grid_BD!$F:$F,$A319,Grid_BD!$X:$X)),"")</f>
        <v/>
      </c>
      <c r="S319" s="121"/>
      <c r="T319" s="138"/>
      <c r="U319" s="139"/>
      <c r="V319" s="121"/>
      <c r="W319" s="140" t="str">
        <f>IFERROR(Table13[[#This Row],[Mtr_Net_Exp (KWh)]]/(24*AR319*1000),"")</f>
        <v/>
      </c>
      <c r="X319" s="121" t="str">
        <f>IFERROR(_xlfn.XLOOKUP($A319,Input_Raw!$A:$A,Input_Raw!$CF:$CF),"")</f>
        <v/>
      </c>
      <c r="Y319" s="121" t="str">
        <f>IFERROR(_xlfn.XLOOKUP($A319,Input_Raw!$A:$A,Input_Raw!$CZ:$CZ),"")</f>
        <v/>
      </c>
      <c r="Z319" s="121" t="str">
        <f>IFERROR(_xlfn.XLOOKUP($A319,Input_Raw!$A:$A,Input_Raw!$DA:$DA),"")</f>
        <v/>
      </c>
      <c r="AA319" s="123" t="str">
        <f t="shared" si="31"/>
        <v/>
      </c>
      <c r="AB319" s="121" t="str">
        <f>IFERROR(_xlfn.XLOOKUP($A319,Input_Raw!$A:$A,Input_Raw!$DG:$DG),"")</f>
        <v/>
      </c>
      <c r="AC319" s="141">
        <f>IFERROR(_xlfn.XLOOKUP($D319,'Modelling New'!$D:$D,'Modelling New'!$J:$J),"")</f>
        <v>4.3</v>
      </c>
      <c r="AD319" s="123">
        <f>IFERROR(_xlfn.XLOOKUP($D319,'Modelling New'!$D:$D,'Modelling New'!$T:$T)*1000,"")</f>
        <v>171913.60080596086</v>
      </c>
      <c r="AE319" s="140"/>
      <c r="AF319" s="140">
        <f>IFERROR(_xlfn.XLOOKUP($D319,'Modelling New'!$D:$D,'Modelling New'!$W:$W),"")</f>
        <v>9.1834188464722688E-2</v>
      </c>
      <c r="AG319" s="140">
        <f>IFERROR(_xlfn.XLOOKUP($D319,'Modelling New'!$D:$D,'Modelling New'!$AE:$AE),"")</f>
        <v>0.96029999999999993</v>
      </c>
      <c r="AH319" s="140">
        <f>IFERROR(_xlfn.XLOOKUP($D319,'Modelling New'!$D:$D,'Modelling New'!$AF:$AF),"")</f>
        <v>0.995</v>
      </c>
      <c r="AI319" s="121" t="str">
        <f>IFERROR(_xlfn.XLOOKUP($A319,Input_Raw!$A:$A,Input_Raw!$DE:$DE),"")</f>
        <v/>
      </c>
      <c r="AJ319" s="121"/>
      <c r="AK319" s="121"/>
      <c r="AL319" s="121"/>
      <c r="AM319" s="121"/>
      <c r="AN319" s="142" t="str">
        <f>IFERROR(_xlfn.XLOOKUP($A319,Input_Raw!$A:$A,Input_Raw!$DB:$DB),"")</f>
        <v/>
      </c>
      <c r="AO319" s="140" t="str">
        <f>IFERROR((_xlfn.XLOOKUP($A319,'WTG Reactive Power'!$A:$A,'WTG Reactive Power'!$AR:$AR))/X319/1000,"")</f>
        <v/>
      </c>
      <c r="AP319" s="140">
        <f>IFERROR(_xlfn.XLOOKUP($D319,'Modelling New'!$D:$D,'Modelling New'!$AK:$AK),"")</f>
        <v>0.05</v>
      </c>
      <c r="AQ319" s="140">
        <f>IFERROR(_xlfn.XLOOKUP($D319,'Modelling New'!$D:$D,'Modelling New'!$AL:$AL),"")</f>
        <v>0.05</v>
      </c>
      <c r="AR319">
        <f>IFERROR(_xlfn.XLOOKUP($D319,'Modelling New'!$D:$D,'Modelling New'!$N:$N),"")</f>
        <v>78</v>
      </c>
    </row>
    <row r="320" spans="1:44">
      <c r="A320" s="134">
        <f t="shared" si="32"/>
        <v>46063</v>
      </c>
      <c r="B320" s="123">
        <f>YEAR(Table13[[#This Row],[Date]])+IF(MONTH(Table13[[#This Row],[Date]])&gt;=4,1,0)</f>
        <v>2026</v>
      </c>
      <c r="C320" s="121">
        <f>YEAR(Table13[[#This Row],[Date]])</f>
        <v>2026</v>
      </c>
      <c r="D320" s="135">
        <f>Table13[[#This Row],[Date]]-DAY(Table13[[#This Row],[Date]])+1</f>
        <v>46054</v>
      </c>
      <c r="E320" s="121">
        <f t="shared" si="29"/>
        <v>28</v>
      </c>
      <c r="F320" s="124"/>
      <c r="G320" s="125"/>
      <c r="H320" s="125"/>
      <c r="I320" s="125"/>
      <c r="J320" s="125"/>
      <c r="K320" s="136"/>
      <c r="L320" s="125"/>
      <c r="M320" s="125" t="str">
        <f>IFERROR(_xlfn.XLOOKUP($A320,Input_Raw!$A:$A,Input_Raw!CG:CG),"")</f>
        <v/>
      </c>
      <c r="N320" s="125" t="str">
        <f>IFERROR(_xlfn.XLOOKUP($A320,Input_Raw!$A:$A,Input_Raw!CH:CH),"")</f>
        <v/>
      </c>
      <c r="O320" s="137" t="str">
        <f t="shared" si="30"/>
        <v/>
      </c>
      <c r="P320" s="137" t="str">
        <f>IFERROR(1-SUMIF(WTG_BD!$F:$F,$A320,WTG_BD!$AA:$AA)/($AA320+SUMIF(WTG_BD!$F:$F,$A320,WTG_BD!$AA:$AA)),"")</f>
        <v/>
      </c>
      <c r="Q320" s="138" t="str">
        <f>IFERROR(1-SUMIF(IGA_BD!$F:$F,$A320,IGA_BD!$V:$V)/($AA320+SUMIF(IGA_BD!$F:$F,$A320,IGA_BD!$V:$V)),"")</f>
        <v/>
      </c>
      <c r="R320" s="143" t="str">
        <f>IFERROR(1-SUMIF(Grid_BD!$F:$F,$A320,Grid_BD!$X:$X)/($AA320+SUMIF(Grid_BD!$F:$F,$A320,Grid_BD!$X:$X)),"")</f>
        <v/>
      </c>
      <c r="S320" s="121"/>
      <c r="T320" s="138"/>
      <c r="U320" s="139"/>
      <c r="V320" s="121"/>
      <c r="W320" s="140" t="str">
        <f>IFERROR(Table13[[#This Row],[Mtr_Net_Exp (KWh)]]/(24*AR320*1000),"")</f>
        <v/>
      </c>
      <c r="X320" s="121" t="str">
        <f>IFERROR(_xlfn.XLOOKUP($A320,Input_Raw!$A:$A,Input_Raw!$CF:$CF),"")</f>
        <v/>
      </c>
      <c r="Y320" s="121" t="str">
        <f>IFERROR(_xlfn.XLOOKUP($A320,Input_Raw!$A:$A,Input_Raw!$CZ:$CZ),"")</f>
        <v/>
      </c>
      <c r="Z320" s="121" t="str">
        <f>IFERROR(_xlfn.XLOOKUP($A320,Input_Raw!$A:$A,Input_Raw!$DA:$DA),"")</f>
        <v/>
      </c>
      <c r="AA320" s="123" t="str">
        <f t="shared" si="31"/>
        <v/>
      </c>
      <c r="AB320" s="121" t="str">
        <f>IFERROR(_xlfn.XLOOKUP($A320,Input_Raw!$A:$A,Input_Raw!$DG:$DG),"")</f>
        <v/>
      </c>
      <c r="AC320" s="141">
        <f>IFERROR(_xlfn.XLOOKUP($D320,'Modelling New'!$D:$D,'Modelling New'!$J:$J),"")</f>
        <v>4.3</v>
      </c>
      <c r="AD320" s="123">
        <f>IFERROR(_xlfn.XLOOKUP($D320,'Modelling New'!$D:$D,'Modelling New'!$T:$T)*1000,"")</f>
        <v>171913.60080596086</v>
      </c>
      <c r="AE320" s="140"/>
      <c r="AF320" s="140">
        <f>IFERROR(_xlfn.XLOOKUP($D320,'Modelling New'!$D:$D,'Modelling New'!$W:$W),"")</f>
        <v>9.1834188464722688E-2</v>
      </c>
      <c r="AG320" s="140">
        <f>IFERROR(_xlfn.XLOOKUP($D320,'Modelling New'!$D:$D,'Modelling New'!$AE:$AE),"")</f>
        <v>0.96029999999999993</v>
      </c>
      <c r="AH320" s="140">
        <f>IFERROR(_xlfn.XLOOKUP($D320,'Modelling New'!$D:$D,'Modelling New'!$AF:$AF),"")</f>
        <v>0.995</v>
      </c>
      <c r="AI320" s="121" t="str">
        <f>IFERROR(_xlfn.XLOOKUP($A320,Input_Raw!$A:$A,Input_Raw!$DE:$DE),"")</f>
        <v/>
      </c>
      <c r="AJ320" s="121"/>
      <c r="AK320" s="121"/>
      <c r="AL320" s="121"/>
      <c r="AM320" s="121"/>
      <c r="AN320" s="142" t="str">
        <f>IFERROR(_xlfn.XLOOKUP($A320,Input_Raw!$A:$A,Input_Raw!$DB:$DB),"")</f>
        <v/>
      </c>
      <c r="AO320" s="140" t="str">
        <f>IFERROR((_xlfn.XLOOKUP($A320,'WTG Reactive Power'!$A:$A,'WTG Reactive Power'!$AR:$AR))/X320/1000,"")</f>
        <v/>
      </c>
      <c r="AP320" s="140">
        <f>IFERROR(_xlfn.XLOOKUP($D320,'Modelling New'!$D:$D,'Modelling New'!$AK:$AK),"")</f>
        <v>0.05</v>
      </c>
      <c r="AQ320" s="140">
        <f>IFERROR(_xlfn.XLOOKUP($D320,'Modelling New'!$D:$D,'Modelling New'!$AL:$AL),"")</f>
        <v>0.05</v>
      </c>
      <c r="AR320">
        <f>IFERROR(_xlfn.XLOOKUP($D320,'Modelling New'!$D:$D,'Modelling New'!$N:$N),"")</f>
        <v>78</v>
      </c>
    </row>
    <row r="321" spans="1:44">
      <c r="A321" s="134">
        <f t="shared" si="32"/>
        <v>46064</v>
      </c>
      <c r="B321" s="123">
        <f>YEAR(Table13[[#This Row],[Date]])+IF(MONTH(Table13[[#This Row],[Date]])&gt;=4,1,0)</f>
        <v>2026</v>
      </c>
      <c r="C321" s="121">
        <f>YEAR(Table13[[#This Row],[Date]])</f>
        <v>2026</v>
      </c>
      <c r="D321" s="135">
        <f>Table13[[#This Row],[Date]]-DAY(Table13[[#This Row],[Date]])+1</f>
        <v>46054</v>
      </c>
      <c r="E321" s="121">
        <f t="shared" si="29"/>
        <v>28</v>
      </c>
      <c r="F321" s="124"/>
      <c r="G321" s="125"/>
      <c r="H321" s="125"/>
      <c r="I321" s="125"/>
      <c r="J321" s="125"/>
      <c r="K321" s="136"/>
      <c r="L321" s="125"/>
      <c r="M321" s="125" t="str">
        <f>IFERROR(_xlfn.XLOOKUP($A321,Input_Raw!$A:$A,Input_Raw!CG:CG),"")</f>
        <v/>
      </c>
      <c r="N321" s="125" t="str">
        <f>IFERROR(_xlfn.XLOOKUP($A321,Input_Raw!$A:$A,Input_Raw!CH:CH),"")</f>
        <v/>
      </c>
      <c r="O321" s="137" t="str">
        <f t="shared" si="30"/>
        <v/>
      </c>
      <c r="P321" s="137" t="str">
        <f>IFERROR(1-SUMIF(WTG_BD!$F:$F,$A321,WTG_BD!$AA:$AA)/($AA321+SUMIF(WTG_BD!$F:$F,$A321,WTG_BD!$AA:$AA)),"")</f>
        <v/>
      </c>
      <c r="Q321" s="138" t="str">
        <f>IFERROR(1-SUMIF(IGA_BD!$F:$F,$A321,IGA_BD!$V:$V)/($AA321+SUMIF(IGA_BD!$F:$F,$A321,IGA_BD!$V:$V)),"")</f>
        <v/>
      </c>
      <c r="R321" s="143" t="str">
        <f>IFERROR(1-SUMIF(Grid_BD!$F:$F,$A321,Grid_BD!$X:$X)/($AA321+SUMIF(Grid_BD!$F:$F,$A321,Grid_BD!$X:$X)),"")</f>
        <v/>
      </c>
      <c r="S321" s="121"/>
      <c r="T321" s="138"/>
      <c r="U321" s="139"/>
      <c r="V321" s="121"/>
      <c r="W321" s="140" t="str">
        <f>IFERROR(Table13[[#This Row],[Mtr_Net_Exp (KWh)]]/(24*AR321*1000),"")</f>
        <v/>
      </c>
      <c r="X321" s="121" t="str">
        <f>IFERROR(_xlfn.XLOOKUP($A321,Input_Raw!$A:$A,Input_Raw!$CF:$CF),"")</f>
        <v/>
      </c>
      <c r="Y321" s="121" t="str">
        <f>IFERROR(_xlfn.XLOOKUP($A321,Input_Raw!$A:$A,Input_Raw!$CZ:$CZ),"")</f>
        <v/>
      </c>
      <c r="Z321" s="121" t="str">
        <f>IFERROR(_xlfn.XLOOKUP($A321,Input_Raw!$A:$A,Input_Raw!$DA:$DA),"")</f>
        <v/>
      </c>
      <c r="AA321" s="123" t="str">
        <f t="shared" si="31"/>
        <v/>
      </c>
      <c r="AB321" s="121" t="str">
        <f>IFERROR(_xlfn.XLOOKUP($A321,Input_Raw!$A:$A,Input_Raw!$DG:$DG),"")</f>
        <v/>
      </c>
      <c r="AC321" s="141">
        <f>IFERROR(_xlfn.XLOOKUP($D321,'Modelling New'!$D:$D,'Modelling New'!$J:$J),"")</f>
        <v>4.3</v>
      </c>
      <c r="AD321" s="123">
        <f>IFERROR(_xlfn.XLOOKUP($D321,'Modelling New'!$D:$D,'Modelling New'!$T:$T)*1000,"")</f>
        <v>171913.60080596086</v>
      </c>
      <c r="AE321" s="140"/>
      <c r="AF321" s="140">
        <f>IFERROR(_xlfn.XLOOKUP($D321,'Modelling New'!$D:$D,'Modelling New'!$W:$W),"")</f>
        <v>9.1834188464722688E-2</v>
      </c>
      <c r="AG321" s="140">
        <f>IFERROR(_xlfn.XLOOKUP($D321,'Modelling New'!$D:$D,'Modelling New'!$AE:$AE),"")</f>
        <v>0.96029999999999993</v>
      </c>
      <c r="AH321" s="140">
        <f>IFERROR(_xlfn.XLOOKUP($D321,'Modelling New'!$D:$D,'Modelling New'!$AF:$AF),"")</f>
        <v>0.995</v>
      </c>
      <c r="AI321" s="121" t="str">
        <f>IFERROR(_xlfn.XLOOKUP($A321,Input_Raw!$A:$A,Input_Raw!$DE:$DE),"")</f>
        <v/>
      </c>
      <c r="AJ321" s="121"/>
      <c r="AK321" s="121"/>
      <c r="AL321" s="121"/>
      <c r="AM321" s="121"/>
      <c r="AN321" s="142" t="str">
        <f>IFERROR(_xlfn.XLOOKUP($A321,Input_Raw!$A:$A,Input_Raw!$DB:$DB),"")</f>
        <v/>
      </c>
      <c r="AO321" s="140" t="str">
        <f>IFERROR((_xlfn.XLOOKUP($A321,'WTG Reactive Power'!$A:$A,'WTG Reactive Power'!$AR:$AR))/X321/1000,"")</f>
        <v/>
      </c>
      <c r="AP321" s="140">
        <f>IFERROR(_xlfn.XLOOKUP($D321,'Modelling New'!$D:$D,'Modelling New'!$AK:$AK),"")</f>
        <v>0.05</v>
      </c>
      <c r="AQ321" s="140">
        <f>IFERROR(_xlfn.XLOOKUP($D321,'Modelling New'!$D:$D,'Modelling New'!$AL:$AL),"")</f>
        <v>0.05</v>
      </c>
      <c r="AR321">
        <f>IFERROR(_xlfn.XLOOKUP($D321,'Modelling New'!$D:$D,'Modelling New'!$N:$N),"")</f>
        <v>78</v>
      </c>
    </row>
    <row r="322" spans="1:44">
      <c r="A322" s="134">
        <f t="shared" si="32"/>
        <v>46065</v>
      </c>
      <c r="B322" s="123">
        <f>YEAR(Table13[[#This Row],[Date]])+IF(MONTH(Table13[[#This Row],[Date]])&gt;=4,1,0)</f>
        <v>2026</v>
      </c>
      <c r="C322" s="121">
        <f>YEAR(Table13[[#This Row],[Date]])</f>
        <v>2026</v>
      </c>
      <c r="D322" s="135">
        <f>Table13[[#This Row],[Date]]-DAY(Table13[[#This Row],[Date]])+1</f>
        <v>46054</v>
      </c>
      <c r="E322" s="121">
        <f t="shared" si="29"/>
        <v>28</v>
      </c>
      <c r="F322" s="124"/>
      <c r="G322" s="125"/>
      <c r="H322" s="125"/>
      <c r="I322" s="125"/>
      <c r="J322" s="125"/>
      <c r="K322" s="136"/>
      <c r="L322" s="125"/>
      <c r="M322" s="125" t="str">
        <f>IFERROR(_xlfn.XLOOKUP($A322,Input_Raw!$A:$A,Input_Raw!CG:CG),"")</f>
        <v/>
      </c>
      <c r="N322" s="125" t="str">
        <f>IFERROR(_xlfn.XLOOKUP($A322,Input_Raw!$A:$A,Input_Raw!CH:CH),"")</f>
        <v/>
      </c>
      <c r="O322" s="137" t="str">
        <f t="shared" si="30"/>
        <v/>
      </c>
      <c r="P322" s="137" t="str">
        <f>IFERROR(1-SUMIF(WTG_BD!$F:$F,$A322,WTG_BD!$AA:$AA)/($AA322+SUMIF(WTG_BD!$F:$F,$A322,WTG_BD!$AA:$AA)),"")</f>
        <v/>
      </c>
      <c r="Q322" s="138" t="str">
        <f>IFERROR(1-SUMIF(IGA_BD!$F:$F,$A322,IGA_BD!$V:$V)/($AA322+SUMIF(IGA_BD!$F:$F,$A322,IGA_BD!$V:$V)),"")</f>
        <v/>
      </c>
      <c r="R322" s="143" t="str">
        <f>IFERROR(1-SUMIF(Grid_BD!$F:$F,$A322,Grid_BD!$X:$X)/($AA322+SUMIF(Grid_BD!$F:$F,$A322,Grid_BD!$X:$X)),"")</f>
        <v/>
      </c>
      <c r="S322" s="121"/>
      <c r="T322" s="138"/>
      <c r="U322" s="139"/>
      <c r="V322" s="121"/>
      <c r="W322" s="140" t="str">
        <f>IFERROR(Table13[[#This Row],[Mtr_Net_Exp (KWh)]]/(24*AR322*1000),"")</f>
        <v/>
      </c>
      <c r="X322" s="121" t="str">
        <f>IFERROR(_xlfn.XLOOKUP($A322,Input_Raw!$A:$A,Input_Raw!$CF:$CF),"")</f>
        <v/>
      </c>
      <c r="Y322" s="121" t="str">
        <f>IFERROR(_xlfn.XLOOKUP($A322,Input_Raw!$A:$A,Input_Raw!$CZ:$CZ),"")</f>
        <v/>
      </c>
      <c r="Z322" s="121" t="str">
        <f>IFERROR(_xlfn.XLOOKUP($A322,Input_Raw!$A:$A,Input_Raw!$DA:$DA),"")</f>
        <v/>
      </c>
      <c r="AA322" s="123" t="str">
        <f t="shared" si="31"/>
        <v/>
      </c>
      <c r="AB322" s="121" t="str">
        <f>IFERROR(_xlfn.XLOOKUP($A322,Input_Raw!$A:$A,Input_Raw!$DG:$DG),"")</f>
        <v/>
      </c>
      <c r="AC322" s="141">
        <f>IFERROR(_xlfn.XLOOKUP($D322,'Modelling New'!$D:$D,'Modelling New'!$J:$J),"")</f>
        <v>4.3</v>
      </c>
      <c r="AD322" s="123">
        <f>IFERROR(_xlfn.XLOOKUP($D322,'Modelling New'!$D:$D,'Modelling New'!$T:$T)*1000,"")</f>
        <v>171913.60080596086</v>
      </c>
      <c r="AE322" s="140"/>
      <c r="AF322" s="140">
        <f>IFERROR(_xlfn.XLOOKUP($D322,'Modelling New'!$D:$D,'Modelling New'!$W:$W),"")</f>
        <v>9.1834188464722688E-2</v>
      </c>
      <c r="AG322" s="140">
        <f>IFERROR(_xlfn.XLOOKUP($D322,'Modelling New'!$D:$D,'Modelling New'!$AE:$AE),"")</f>
        <v>0.96029999999999993</v>
      </c>
      <c r="AH322" s="140">
        <f>IFERROR(_xlfn.XLOOKUP($D322,'Modelling New'!$D:$D,'Modelling New'!$AF:$AF),"")</f>
        <v>0.995</v>
      </c>
      <c r="AI322" s="121" t="str">
        <f>IFERROR(_xlfn.XLOOKUP($A322,Input_Raw!$A:$A,Input_Raw!$DE:$DE),"")</f>
        <v/>
      </c>
      <c r="AJ322" s="121"/>
      <c r="AK322" s="121"/>
      <c r="AL322" s="121"/>
      <c r="AM322" s="121"/>
      <c r="AN322" s="142" t="str">
        <f>IFERROR(_xlfn.XLOOKUP($A322,Input_Raw!$A:$A,Input_Raw!$DB:$DB),"")</f>
        <v/>
      </c>
      <c r="AO322" s="140" t="str">
        <f>IFERROR((_xlfn.XLOOKUP($A322,'WTG Reactive Power'!$A:$A,'WTG Reactive Power'!$AR:$AR))/X322/1000,"")</f>
        <v/>
      </c>
      <c r="AP322" s="140">
        <f>IFERROR(_xlfn.XLOOKUP($D322,'Modelling New'!$D:$D,'Modelling New'!$AK:$AK),"")</f>
        <v>0.05</v>
      </c>
      <c r="AQ322" s="140">
        <f>IFERROR(_xlfn.XLOOKUP($D322,'Modelling New'!$D:$D,'Modelling New'!$AL:$AL),"")</f>
        <v>0.05</v>
      </c>
      <c r="AR322">
        <f>IFERROR(_xlfn.XLOOKUP($D322,'Modelling New'!$D:$D,'Modelling New'!$N:$N),"")</f>
        <v>78</v>
      </c>
    </row>
    <row r="323" spans="1:44">
      <c r="A323" s="134">
        <f t="shared" si="32"/>
        <v>46066</v>
      </c>
      <c r="B323" s="123">
        <f>YEAR(Table13[[#This Row],[Date]])+IF(MONTH(Table13[[#This Row],[Date]])&gt;=4,1,0)</f>
        <v>2026</v>
      </c>
      <c r="C323" s="121">
        <f>YEAR(Table13[[#This Row],[Date]])</f>
        <v>2026</v>
      </c>
      <c r="D323" s="135">
        <f>Table13[[#This Row],[Date]]-DAY(Table13[[#This Row],[Date]])+1</f>
        <v>46054</v>
      </c>
      <c r="E323" s="121">
        <f t="shared" si="29"/>
        <v>28</v>
      </c>
      <c r="F323" s="124"/>
      <c r="G323" s="125"/>
      <c r="H323" s="125"/>
      <c r="I323" s="125"/>
      <c r="J323" s="125"/>
      <c r="K323" s="136"/>
      <c r="L323" s="125"/>
      <c r="M323" s="125" t="str">
        <f>IFERROR(_xlfn.XLOOKUP($A323,Input_Raw!$A:$A,Input_Raw!CG:CG),"")</f>
        <v/>
      </c>
      <c r="N323" s="125" t="str">
        <f>IFERROR(_xlfn.XLOOKUP($A323,Input_Raw!$A:$A,Input_Raw!CH:CH),"")</f>
        <v/>
      </c>
      <c r="O323" s="137" t="str">
        <f t="shared" si="30"/>
        <v/>
      </c>
      <c r="P323" s="137" t="str">
        <f>IFERROR(1-SUMIF(WTG_BD!$F:$F,$A323,WTG_BD!$AA:$AA)/($AA323+SUMIF(WTG_BD!$F:$F,$A323,WTG_BD!$AA:$AA)),"")</f>
        <v/>
      </c>
      <c r="Q323" s="138" t="str">
        <f>IFERROR(1-SUMIF(IGA_BD!$F:$F,$A323,IGA_BD!$V:$V)/($AA323+SUMIF(IGA_BD!$F:$F,$A323,IGA_BD!$V:$V)),"")</f>
        <v/>
      </c>
      <c r="R323" s="143" t="str">
        <f>IFERROR(1-SUMIF(Grid_BD!$F:$F,$A323,Grid_BD!$X:$X)/($AA323+SUMIF(Grid_BD!$F:$F,$A323,Grid_BD!$X:$X)),"")</f>
        <v/>
      </c>
      <c r="S323" s="121"/>
      <c r="T323" s="138"/>
      <c r="U323" s="139"/>
      <c r="V323" s="121"/>
      <c r="W323" s="140" t="str">
        <f>IFERROR(Table13[[#This Row],[Mtr_Net_Exp (KWh)]]/(24*AR323*1000),"")</f>
        <v/>
      </c>
      <c r="X323" s="121" t="str">
        <f>IFERROR(_xlfn.XLOOKUP($A323,Input_Raw!$A:$A,Input_Raw!$CF:$CF),"")</f>
        <v/>
      </c>
      <c r="Y323" s="121" t="str">
        <f>IFERROR(_xlfn.XLOOKUP($A323,Input_Raw!$A:$A,Input_Raw!$CZ:$CZ),"")</f>
        <v/>
      </c>
      <c r="Z323" s="121" t="str">
        <f>IFERROR(_xlfn.XLOOKUP($A323,Input_Raw!$A:$A,Input_Raw!$DA:$DA),"")</f>
        <v/>
      </c>
      <c r="AA323" s="123" t="str">
        <f t="shared" si="31"/>
        <v/>
      </c>
      <c r="AB323" s="121" t="str">
        <f>IFERROR(_xlfn.XLOOKUP($A323,Input_Raw!$A:$A,Input_Raw!$DG:$DG),"")</f>
        <v/>
      </c>
      <c r="AC323" s="141">
        <f>IFERROR(_xlfn.XLOOKUP($D323,'Modelling New'!$D:$D,'Modelling New'!$J:$J),"")</f>
        <v>4.3</v>
      </c>
      <c r="AD323" s="123">
        <f>IFERROR(_xlfn.XLOOKUP($D323,'Modelling New'!$D:$D,'Modelling New'!$T:$T)*1000,"")</f>
        <v>171913.60080596086</v>
      </c>
      <c r="AE323" s="140"/>
      <c r="AF323" s="140">
        <f>IFERROR(_xlfn.XLOOKUP($D323,'Modelling New'!$D:$D,'Modelling New'!$W:$W),"")</f>
        <v>9.1834188464722688E-2</v>
      </c>
      <c r="AG323" s="140">
        <f>IFERROR(_xlfn.XLOOKUP($D323,'Modelling New'!$D:$D,'Modelling New'!$AE:$AE),"")</f>
        <v>0.96029999999999993</v>
      </c>
      <c r="AH323" s="140">
        <f>IFERROR(_xlfn.XLOOKUP($D323,'Modelling New'!$D:$D,'Modelling New'!$AF:$AF),"")</f>
        <v>0.995</v>
      </c>
      <c r="AI323" s="121" t="str">
        <f>IFERROR(_xlfn.XLOOKUP($A323,Input_Raw!$A:$A,Input_Raw!$DE:$DE),"")</f>
        <v/>
      </c>
      <c r="AJ323" s="121"/>
      <c r="AK323" s="121"/>
      <c r="AL323" s="121"/>
      <c r="AM323" s="121"/>
      <c r="AN323" s="142" t="str">
        <f>IFERROR(_xlfn.XLOOKUP($A323,Input_Raw!$A:$A,Input_Raw!$DB:$DB),"")</f>
        <v/>
      </c>
      <c r="AO323" s="140" t="str">
        <f>IFERROR((_xlfn.XLOOKUP($A323,'WTG Reactive Power'!$A:$A,'WTG Reactive Power'!$AR:$AR))/X323/1000,"")</f>
        <v/>
      </c>
      <c r="AP323" s="140">
        <f>IFERROR(_xlfn.XLOOKUP($D323,'Modelling New'!$D:$D,'Modelling New'!$AK:$AK),"")</f>
        <v>0.05</v>
      </c>
      <c r="AQ323" s="140">
        <f>IFERROR(_xlfn.XLOOKUP($D323,'Modelling New'!$D:$D,'Modelling New'!$AL:$AL),"")</f>
        <v>0.05</v>
      </c>
      <c r="AR323">
        <f>IFERROR(_xlfn.XLOOKUP($D323,'Modelling New'!$D:$D,'Modelling New'!$N:$N),"")</f>
        <v>78</v>
      </c>
    </row>
    <row r="324" spans="1:44">
      <c r="A324" s="134">
        <f t="shared" si="32"/>
        <v>46067</v>
      </c>
      <c r="B324" s="123">
        <f>YEAR(Table13[[#This Row],[Date]])+IF(MONTH(Table13[[#This Row],[Date]])&gt;=4,1,0)</f>
        <v>2026</v>
      </c>
      <c r="C324" s="121">
        <f>YEAR(Table13[[#This Row],[Date]])</f>
        <v>2026</v>
      </c>
      <c r="D324" s="135">
        <f>Table13[[#This Row],[Date]]-DAY(Table13[[#This Row],[Date]])+1</f>
        <v>46054</v>
      </c>
      <c r="E324" s="121">
        <f t="shared" si="29"/>
        <v>28</v>
      </c>
      <c r="F324" s="124"/>
      <c r="G324" s="125"/>
      <c r="H324" s="125"/>
      <c r="I324" s="125"/>
      <c r="J324" s="125"/>
      <c r="K324" s="136"/>
      <c r="L324" s="125"/>
      <c r="M324" s="125" t="str">
        <f>IFERROR(_xlfn.XLOOKUP($A324,Input_Raw!$A:$A,Input_Raw!CG:CG),"")</f>
        <v/>
      </c>
      <c r="N324" s="125" t="str">
        <f>IFERROR(_xlfn.XLOOKUP($A324,Input_Raw!$A:$A,Input_Raw!CH:CH),"")</f>
        <v/>
      </c>
      <c r="O324" s="137" t="str">
        <f t="shared" si="30"/>
        <v/>
      </c>
      <c r="P324" s="137" t="str">
        <f>IFERROR(1-SUMIF(WTG_BD!$F:$F,$A324,WTG_BD!$AA:$AA)/($AA324+SUMIF(WTG_BD!$F:$F,$A324,WTG_BD!$AA:$AA)),"")</f>
        <v/>
      </c>
      <c r="Q324" s="138" t="str">
        <f>IFERROR(1-SUMIF(IGA_BD!$F:$F,$A324,IGA_BD!$V:$V)/($AA324+SUMIF(IGA_BD!$F:$F,$A324,IGA_BD!$V:$V)),"")</f>
        <v/>
      </c>
      <c r="R324" s="143" t="str">
        <f>IFERROR(1-SUMIF(Grid_BD!$F:$F,$A324,Grid_BD!$X:$X)/($AA324+SUMIF(Grid_BD!$F:$F,$A324,Grid_BD!$X:$X)),"")</f>
        <v/>
      </c>
      <c r="S324" s="121"/>
      <c r="T324" s="138"/>
      <c r="U324" s="139"/>
      <c r="V324" s="121"/>
      <c r="W324" s="140" t="str">
        <f>IFERROR(Table13[[#This Row],[Mtr_Net_Exp (KWh)]]/(24*AR324*1000),"")</f>
        <v/>
      </c>
      <c r="X324" s="121" t="str">
        <f>IFERROR(_xlfn.XLOOKUP($A324,Input_Raw!$A:$A,Input_Raw!$CF:$CF),"")</f>
        <v/>
      </c>
      <c r="Y324" s="121" t="str">
        <f>IFERROR(_xlfn.XLOOKUP($A324,Input_Raw!$A:$A,Input_Raw!$CZ:$CZ),"")</f>
        <v/>
      </c>
      <c r="Z324" s="121" t="str">
        <f>IFERROR(_xlfn.XLOOKUP($A324,Input_Raw!$A:$A,Input_Raw!$DA:$DA),"")</f>
        <v/>
      </c>
      <c r="AA324" s="123" t="str">
        <f t="shared" si="31"/>
        <v/>
      </c>
      <c r="AB324" s="121" t="str">
        <f>IFERROR(_xlfn.XLOOKUP($A324,Input_Raw!$A:$A,Input_Raw!$DG:$DG),"")</f>
        <v/>
      </c>
      <c r="AC324" s="141">
        <f>IFERROR(_xlfn.XLOOKUP($D324,'Modelling New'!$D:$D,'Modelling New'!$J:$J),"")</f>
        <v>4.3</v>
      </c>
      <c r="AD324" s="123">
        <f>IFERROR(_xlfn.XLOOKUP($D324,'Modelling New'!$D:$D,'Modelling New'!$T:$T)*1000,"")</f>
        <v>171913.60080596086</v>
      </c>
      <c r="AE324" s="140"/>
      <c r="AF324" s="140">
        <f>IFERROR(_xlfn.XLOOKUP($D324,'Modelling New'!$D:$D,'Modelling New'!$W:$W),"")</f>
        <v>9.1834188464722688E-2</v>
      </c>
      <c r="AG324" s="140">
        <f>IFERROR(_xlfn.XLOOKUP($D324,'Modelling New'!$D:$D,'Modelling New'!$AE:$AE),"")</f>
        <v>0.96029999999999993</v>
      </c>
      <c r="AH324" s="140">
        <f>IFERROR(_xlfn.XLOOKUP($D324,'Modelling New'!$D:$D,'Modelling New'!$AF:$AF),"")</f>
        <v>0.995</v>
      </c>
      <c r="AI324" s="121" t="str">
        <f>IFERROR(_xlfn.XLOOKUP($A324,Input_Raw!$A:$A,Input_Raw!$DE:$DE),"")</f>
        <v/>
      </c>
      <c r="AJ324" s="121"/>
      <c r="AK324" s="121"/>
      <c r="AL324" s="121"/>
      <c r="AM324" s="121"/>
      <c r="AN324" s="142" t="str">
        <f>IFERROR(_xlfn.XLOOKUP($A324,Input_Raw!$A:$A,Input_Raw!$DB:$DB),"")</f>
        <v/>
      </c>
      <c r="AO324" s="140" t="str">
        <f>IFERROR((_xlfn.XLOOKUP($A324,'WTG Reactive Power'!$A:$A,'WTG Reactive Power'!$AR:$AR))/X324/1000,"")</f>
        <v/>
      </c>
      <c r="AP324" s="140">
        <f>IFERROR(_xlfn.XLOOKUP($D324,'Modelling New'!$D:$D,'Modelling New'!$AK:$AK),"")</f>
        <v>0.05</v>
      </c>
      <c r="AQ324" s="140">
        <f>IFERROR(_xlfn.XLOOKUP($D324,'Modelling New'!$D:$D,'Modelling New'!$AL:$AL),"")</f>
        <v>0.05</v>
      </c>
      <c r="AR324">
        <f>IFERROR(_xlfn.XLOOKUP($D324,'Modelling New'!$D:$D,'Modelling New'!$N:$N),"")</f>
        <v>78</v>
      </c>
    </row>
    <row r="325" spans="1:44">
      <c r="A325" s="134">
        <f t="shared" si="32"/>
        <v>46068</v>
      </c>
      <c r="B325" s="123">
        <f>YEAR(Table13[[#This Row],[Date]])+IF(MONTH(Table13[[#This Row],[Date]])&gt;=4,1,0)</f>
        <v>2026</v>
      </c>
      <c r="C325" s="121">
        <f>YEAR(Table13[[#This Row],[Date]])</f>
        <v>2026</v>
      </c>
      <c r="D325" s="135">
        <f>Table13[[#This Row],[Date]]-DAY(Table13[[#This Row],[Date]])+1</f>
        <v>46054</v>
      </c>
      <c r="E325" s="121">
        <f t="shared" ref="E325:E356" si="33">DAY(EOMONTH(A325,0))</f>
        <v>28</v>
      </c>
      <c r="F325" s="124"/>
      <c r="G325" s="125"/>
      <c r="H325" s="125"/>
      <c r="I325" s="125"/>
      <c r="J325" s="125"/>
      <c r="K325" s="136"/>
      <c r="L325" s="125"/>
      <c r="M325" s="125" t="str">
        <f>IFERROR(_xlfn.XLOOKUP($A325,Input_Raw!$A:$A,Input_Raw!CG:CG),"")</f>
        <v/>
      </c>
      <c r="N325" s="125" t="str">
        <f>IFERROR(_xlfn.XLOOKUP($A325,Input_Raw!$A:$A,Input_Raw!CH:CH),"")</f>
        <v/>
      </c>
      <c r="O325" s="137" t="str">
        <f t="shared" ref="O325:O356" si="34">IFERROR(P325*Q325,"")</f>
        <v/>
      </c>
      <c r="P325" s="137" t="str">
        <f>IFERROR(1-SUMIF(WTG_BD!$F:$F,$A325,WTG_BD!$AA:$AA)/($AA325+SUMIF(WTG_BD!$F:$F,$A325,WTG_BD!$AA:$AA)),"")</f>
        <v/>
      </c>
      <c r="Q325" s="138" t="str">
        <f>IFERROR(1-SUMIF(IGA_BD!$F:$F,$A325,IGA_BD!$V:$V)/($AA325+SUMIF(IGA_BD!$F:$F,$A325,IGA_BD!$V:$V)),"")</f>
        <v/>
      </c>
      <c r="R325" s="143" t="str">
        <f>IFERROR(1-SUMIF(Grid_BD!$F:$F,$A325,Grid_BD!$X:$X)/($AA325+SUMIF(Grid_BD!$F:$F,$A325,Grid_BD!$X:$X)),"")</f>
        <v/>
      </c>
      <c r="S325" s="121"/>
      <c r="T325" s="138"/>
      <c r="U325" s="139"/>
      <c r="V325" s="121"/>
      <c r="W325" s="140" t="str">
        <f>IFERROR(Table13[[#This Row],[Mtr_Net_Exp (KWh)]]/(24*AR325*1000),"")</f>
        <v/>
      </c>
      <c r="X325" s="121" t="str">
        <f>IFERROR(_xlfn.XLOOKUP($A325,Input_Raw!$A:$A,Input_Raw!$CF:$CF),"")</f>
        <v/>
      </c>
      <c r="Y325" s="121" t="str">
        <f>IFERROR(_xlfn.XLOOKUP($A325,Input_Raw!$A:$A,Input_Raw!$CZ:$CZ),"")</f>
        <v/>
      </c>
      <c r="Z325" s="121" t="str">
        <f>IFERROR(_xlfn.XLOOKUP($A325,Input_Raw!$A:$A,Input_Raw!$DA:$DA),"")</f>
        <v/>
      </c>
      <c r="AA325" s="123" t="str">
        <f t="shared" ref="AA325:AA356" si="35">IFERROR(Y325-Z325,"")</f>
        <v/>
      </c>
      <c r="AB325" s="121" t="str">
        <f>IFERROR(_xlfn.XLOOKUP($A325,Input_Raw!$A:$A,Input_Raw!$DG:$DG),"")</f>
        <v/>
      </c>
      <c r="AC325" s="141">
        <f>IFERROR(_xlfn.XLOOKUP($D325,'Modelling New'!$D:$D,'Modelling New'!$J:$J),"")</f>
        <v>4.3</v>
      </c>
      <c r="AD325" s="123">
        <f>IFERROR(_xlfn.XLOOKUP($D325,'Modelling New'!$D:$D,'Modelling New'!$T:$T)*1000,"")</f>
        <v>171913.60080596086</v>
      </c>
      <c r="AE325" s="140"/>
      <c r="AF325" s="140">
        <f>IFERROR(_xlfn.XLOOKUP($D325,'Modelling New'!$D:$D,'Modelling New'!$W:$W),"")</f>
        <v>9.1834188464722688E-2</v>
      </c>
      <c r="AG325" s="140">
        <f>IFERROR(_xlfn.XLOOKUP($D325,'Modelling New'!$D:$D,'Modelling New'!$AE:$AE),"")</f>
        <v>0.96029999999999993</v>
      </c>
      <c r="AH325" s="140">
        <f>IFERROR(_xlfn.XLOOKUP($D325,'Modelling New'!$D:$D,'Modelling New'!$AF:$AF),"")</f>
        <v>0.995</v>
      </c>
      <c r="AI325" s="121" t="str">
        <f>IFERROR(_xlfn.XLOOKUP($A325,Input_Raw!$A:$A,Input_Raw!$DE:$DE),"")</f>
        <v/>
      </c>
      <c r="AJ325" s="121"/>
      <c r="AK325" s="121"/>
      <c r="AL325" s="121"/>
      <c r="AM325" s="121"/>
      <c r="AN325" s="142" t="str">
        <f>IFERROR(_xlfn.XLOOKUP($A325,Input_Raw!$A:$A,Input_Raw!$DB:$DB),"")</f>
        <v/>
      </c>
      <c r="AO325" s="140" t="str">
        <f>IFERROR((_xlfn.XLOOKUP($A325,'WTG Reactive Power'!$A:$A,'WTG Reactive Power'!$AR:$AR))/X325/1000,"")</f>
        <v/>
      </c>
      <c r="AP325" s="140">
        <f>IFERROR(_xlfn.XLOOKUP($D325,'Modelling New'!$D:$D,'Modelling New'!$AK:$AK),"")</f>
        <v>0.05</v>
      </c>
      <c r="AQ325" s="140">
        <f>IFERROR(_xlfn.XLOOKUP($D325,'Modelling New'!$D:$D,'Modelling New'!$AL:$AL),"")</f>
        <v>0.05</v>
      </c>
      <c r="AR325">
        <f>IFERROR(_xlfn.XLOOKUP($D325,'Modelling New'!$D:$D,'Modelling New'!$N:$N),"")</f>
        <v>78</v>
      </c>
    </row>
    <row r="326" spans="1:44">
      <c r="A326" s="134">
        <f t="shared" si="32"/>
        <v>46069</v>
      </c>
      <c r="B326" s="123">
        <f>YEAR(Table13[[#This Row],[Date]])+IF(MONTH(Table13[[#This Row],[Date]])&gt;=4,1,0)</f>
        <v>2026</v>
      </c>
      <c r="C326" s="121">
        <f>YEAR(Table13[[#This Row],[Date]])</f>
        <v>2026</v>
      </c>
      <c r="D326" s="135">
        <f>Table13[[#This Row],[Date]]-DAY(Table13[[#This Row],[Date]])+1</f>
        <v>46054</v>
      </c>
      <c r="E326" s="121">
        <f t="shared" si="33"/>
        <v>28</v>
      </c>
      <c r="F326" s="124"/>
      <c r="G326" s="125"/>
      <c r="H326" s="125"/>
      <c r="I326" s="125"/>
      <c r="J326" s="125"/>
      <c r="K326" s="136"/>
      <c r="L326" s="125"/>
      <c r="M326" s="125" t="str">
        <f>IFERROR(_xlfn.XLOOKUP($A326,Input_Raw!$A:$A,Input_Raw!CG:CG),"")</f>
        <v/>
      </c>
      <c r="N326" s="125" t="str">
        <f>IFERROR(_xlfn.XLOOKUP($A326,Input_Raw!$A:$A,Input_Raw!CH:CH),"")</f>
        <v/>
      </c>
      <c r="O326" s="137" t="str">
        <f t="shared" si="34"/>
        <v/>
      </c>
      <c r="P326" s="137" t="str">
        <f>IFERROR(1-SUMIF(WTG_BD!$F:$F,$A326,WTG_BD!$AA:$AA)/($AA326+SUMIF(WTG_BD!$F:$F,$A326,WTG_BD!$AA:$AA)),"")</f>
        <v/>
      </c>
      <c r="Q326" s="138" t="str">
        <f>IFERROR(1-SUMIF(IGA_BD!$F:$F,$A326,IGA_BD!$V:$V)/($AA326+SUMIF(IGA_BD!$F:$F,$A326,IGA_BD!$V:$V)),"")</f>
        <v/>
      </c>
      <c r="R326" s="143" t="str">
        <f>IFERROR(1-SUMIF(Grid_BD!$F:$F,$A326,Grid_BD!$X:$X)/($AA326+SUMIF(Grid_BD!$F:$F,$A326,Grid_BD!$X:$X)),"")</f>
        <v/>
      </c>
      <c r="S326" s="121"/>
      <c r="T326" s="138"/>
      <c r="U326" s="139"/>
      <c r="V326" s="121"/>
      <c r="W326" s="140" t="str">
        <f>IFERROR(Table13[[#This Row],[Mtr_Net_Exp (KWh)]]/(24*AR326*1000),"")</f>
        <v/>
      </c>
      <c r="X326" s="121" t="str">
        <f>IFERROR(_xlfn.XLOOKUP($A326,Input_Raw!$A:$A,Input_Raw!$CF:$CF),"")</f>
        <v/>
      </c>
      <c r="Y326" s="121" t="str">
        <f>IFERROR(_xlfn.XLOOKUP($A326,Input_Raw!$A:$A,Input_Raw!$CZ:$CZ),"")</f>
        <v/>
      </c>
      <c r="Z326" s="121" t="str">
        <f>IFERROR(_xlfn.XLOOKUP($A326,Input_Raw!$A:$A,Input_Raw!$DA:$DA),"")</f>
        <v/>
      </c>
      <c r="AA326" s="123" t="str">
        <f t="shared" si="35"/>
        <v/>
      </c>
      <c r="AB326" s="121" t="str">
        <f>IFERROR(_xlfn.XLOOKUP($A326,Input_Raw!$A:$A,Input_Raw!$DG:$DG),"")</f>
        <v/>
      </c>
      <c r="AC326" s="141">
        <f>IFERROR(_xlfn.XLOOKUP($D326,'Modelling New'!$D:$D,'Modelling New'!$J:$J),"")</f>
        <v>4.3</v>
      </c>
      <c r="AD326" s="123">
        <f>IFERROR(_xlfn.XLOOKUP($D326,'Modelling New'!$D:$D,'Modelling New'!$T:$T)*1000,"")</f>
        <v>171913.60080596086</v>
      </c>
      <c r="AE326" s="140"/>
      <c r="AF326" s="140">
        <f>IFERROR(_xlfn.XLOOKUP($D326,'Modelling New'!$D:$D,'Modelling New'!$W:$W),"")</f>
        <v>9.1834188464722688E-2</v>
      </c>
      <c r="AG326" s="140">
        <f>IFERROR(_xlfn.XLOOKUP($D326,'Modelling New'!$D:$D,'Modelling New'!$AE:$AE),"")</f>
        <v>0.96029999999999993</v>
      </c>
      <c r="AH326" s="140">
        <f>IFERROR(_xlfn.XLOOKUP($D326,'Modelling New'!$D:$D,'Modelling New'!$AF:$AF),"")</f>
        <v>0.995</v>
      </c>
      <c r="AI326" s="121" t="str">
        <f>IFERROR(_xlfn.XLOOKUP($A326,Input_Raw!$A:$A,Input_Raw!$DE:$DE),"")</f>
        <v/>
      </c>
      <c r="AJ326" s="121"/>
      <c r="AK326" s="121"/>
      <c r="AL326" s="121"/>
      <c r="AM326" s="121"/>
      <c r="AN326" s="142" t="str">
        <f>IFERROR(_xlfn.XLOOKUP($A326,Input_Raw!$A:$A,Input_Raw!$DB:$DB),"")</f>
        <v/>
      </c>
      <c r="AO326" s="140" t="str">
        <f>IFERROR((_xlfn.XLOOKUP($A326,'WTG Reactive Power'!$A:$A,'WTG Reactive Power'!$AR:$AR))/X326/1000,"")</f>
        <v/>
      </c>
      <c r="AP326" s="140">
        <f>IFERROR(_xlfn.XLOOKUP($D326,'Modelling New'!$D:$D,'Modelling New'!$AK:$AK),"")</f>
        <v>0.05</v>
      </c>
      <c r="AQ326" s="140">
        <f>IFERROR(_xlfn.XLOOKUP($D326,'Modelling New'!$D:$D,'Modelling New'!$AL:$AL),"")</f>
        <v>0.05</v>
      </c>
      <c r="AR326">
        <f>IFERROR(_xlfn.XLOOKUP($D326,'Modelling New'!$D:$D,'Modelling New'!$N:$N),"")</f>
        <v>78</v>
      </c>
    </row>
    <row r="327" spans="1:44">
      <c r="A327" s="134">
        <f t="shared" si="32"/>
        <v>46070</v>
      </c>
      <c r="B327" s="123">
        <f>YEAR(Table13[[#This Row],[Date]])+IF(MONTH(Table13[[#This Row],[Date]])&gt;=4,1,0)</f>
        <v>2026</v>
      </c>
      <c r="C327" s="121">
        <f>YEAR(Table13[[#This Row],[Date]])</f>
        <v>2026</v>
      </c>
      <c r="D327" s="135">
        <f>Table13[[#This Row],[Date]]-DAY(Table13[[#This Row],[Date]])+1</f>
        <v>46054</v>
      </c>
      <c r="E327" s="121">
        <f t="shared" si="33"/>
        <v>28</v>
      </c>
      <c r="F327" s="124"/>
      <c r="G327" s="125"/>
      <c r="H327" s="125"/>
      <c r="I327" s="125"/>
      <c r="J327" s="125"/>
      <c r="K327" s="136"/>
      <c r="L327" s="125"/>
      <c r="M327" s="125" t="str">
        <f>IFERROR(_xlfn.XLOOKUP($A327,Input_Raw!$A:$A,Input_Raw!CG:CG),"")</f>
        <v/>
      </c>
      <c r="N327" s="125" t="str">
        <f>IFERROR(_xlfn.XLOOKUP($A327,Input_Raw!$A:$A,Input_Raw!CH:CH),"")</f>
        <v/>
      </c>
      <c r="O327" s="137" t="str">
        <f t="shared" si="34"/>
        <v/>
      </c>
      <c r="P327" s="137" t="str">
        <f>IFERROR(1-SUMIF(WTG_BD!$F:$F,$A327,WTG_BD!$AA:$AA)/($AA327+SUMIF(WTG_BD!$F:$F,$A327,WTG_BD!$AA:$AA)),"")</f>
        <v/>
      </c>
      <c r="Q327" s="138" t="str">
        <f>IFERROR(1-SUMIF(IGA_BD!$F:$F,$A327,IGA_BD!$V:$V)/($AA327+SUMIF(IGA_BD!$F:$F,$A327,IGA_BD!$V:$V)),"")</f>
        <v/>
      </c>
      <c r="R327" s="143" t="str">
        <f>IFERROR(1-SUMIF(Grid_BD!$F:$F,$A327,Grid_BD!$X:$X)/($AA327+SUMIF(Grid_BD!$F:$F,$A327,Grid_BD!$X:$X)),"")</f>
        <v/>
      </c>
      <c r="S327" s="121"/>
      <c r="T327" s="138"/>
      <c r="U327" s="139"/>
      <c r="V327" s="121"/>
      <c r="W327" s="140" t="str">
        <f>IFERROR(Table13[[#This Row],[Mtr_Net_Exp (KWh)]]/(24*AR327*1000),"")</f>
        <v/>
      </c>
      <c r="X327" s="121" t="str">
        <f>IFERROR(_xlfn.XLOOKUP($A327,Input_Raw!$A:$A,Input_Raw!$CF:$CF),"")</f>
        <v/>
      </c>
      <c r="Y327" s="121" t="str">
        <f>IFERROR(_xlfn.XLOOKUP($A327,Input_Raw!$A:$A,Input_Raw!$CZ:$CZ),"")</f>
        <v/>
      </c>
      <c r="Z327" s="121" t="str">
        <f>IFERROR(_xlfn.XLOOKUP($A327,Input_Raw!$A:$A,Input_Raw!$DA:$DA),"")</f>
        <v/>
      </c>
      <c r="AA327" s="123" t="str">
        <f t="shared" si="35"/>
        <v/>
      </c>
      <c r="AB327" s="121" t="str">
        <f>IFERROR(_xlfn.XLOOKUP($A327,Input_Raw!$A:$A,Input_Raw!$DG:$DG),"")</f>
        <v/>
      </c>
      <c r="AC327" s="141">
        <f>IFERROR(_xlfn.XLOOKUP($D327,'Modelling New'!$D:$D,'Modelling New'!$J:$J),"")</f>
        <v>4.3</v>
      </c>
      <c r="AD327" s="123">
        <f>IFERROR(_xlfn.XLOOKUP($D327,'Modelling New'!$D:$D,'Modelling New'!$T:$T)*1000,"")</f>
        <v>171913.60080596086</v>
      </c>
      <c r="AE327" s="140"/>
      <c r="AF327" s="140">
        <f>IFERROR(_xlfn.XLOOKUP($D327,'Modelling New'!$D:$D,'Modelling New'!$W:$W),"")</f>
        <v>9.1834188464722688E-2</v>
      </c>
      <c r="AG327" s="140">
        <f>IFERROR(_xlfn.XLOOKUP($D327,'Modelling New'!$D:$D,'Modelling New'!$AE:$AE),"")</f>
        <v>0.96029999999999993</v>
      </c>
      <c r="AH327" s="140">
        <f>IFERROR(_xlfn.XLOOKUP($D327,'Modelling New'!$D:$D,'Modelling New'!$AF:$AF),"")</f>
        <v>0.995</v>
      </c>
      <c r="AI327" s="121" t="str">
        <f>IFERROR(_xlfn.XLOOKUP($A327,Input_Raw!$A:$A,Input_Raw!$DE:$DE),"")</f>
        <v/>
      </c>
      <c r="AJ327" s="121"/>
      <c r="AK327" s="121"/>
      <c r="AL327" s="121"/>
      <c r="AM327" s="121"/>
      <c r="AN327" s="142" t="str">
        <f>IFERROR(_xlfn.XLOOKUP($A327,Input_Raw!$A:$A,Input_Raw!$DB:$DB),"")</f>
        <v/>
      </c>
      <c r="AO327" s="140" t="str">
        <f>IFERROR((_xlfn.XLOOKUP($A327,'WTG Reactive Power'!$A:$A,'WTG Reactive Power'!$AR:$AR))/X327/1000,"")</f>
        <v/>
      </c>
      <c r="AP327" s="140">
        <f>IFERROR(_xlfn.XLOOKUP($D327,'Modelling New'!$D:$D,'Modelling New'!$AK:$AK),"")</f>
        <v>0.05</v>
      </c>
      <c r="AQ327" s="140">
        <f>IFERROR(_xlfn.XLOOKUP($D327,'Modelling New'!$D:$D,'Modelling New'!$AL:$AL),"")</f>
        <v>0.05</v>
      </c>
      <c r="AR327">
        <f>IFERROR(_xlfn.XLOOKUP($D327,'Modelling New'!$D:$D,'Modelling New'!$N:$N),"")</f>
        <v>78</v>
      </c>
    </row>
    <row r="328" spans="1:44">
      <c r="A328" s="134">
        <f t="shared" si="32"/>
        <v>46071</v>
      </c>
      <c r="B328" s="123">
        <f>YEAR(Table13[[#This Row],[Date]])+IF(MONTH(Table13[[#This Row],[Date]])&gt;=4,1,0)</f>
        <v>2026</v>
      </c>
      <c r="C328" s="121">
        <f>YEAR(Table13[[#This Row],[Date]])</f>
        <v>2026</v>
      </c>
      <c r="D328" s="135">
        <f>Table13[[#This Row],[Date]]-DAY(Table13[[#This Row],[Date]])+1</f>
        <v>46054</v>
      </c>
      <c r="E328" s="121">
        <f t="shared" si="33"/>
        <v>28</v>
      </c>
      <c r="F328" s="124"/>
      <c r="G328" s="125"/>
      <c r="H328" s="125"/>
      <c r="I328" s="125"/>
      <c r="J328" s="125"/>
      <c r="K328" s="136"/>
      <c r="L328" s="125"/>
      <c r="M328" s="125" t="str">
        <f>IFERROR(_xlfn.XLOOKUP($A328,Input_Raw!$A:$A,Input_Raw!CG:CG),"")</f>
        <v/>
      </c>
      <c r="N328" s="125" t="str">
        <f>IFERROR(_xlfn.XLOOKUP($A328,Input_Raw!$A:$A,Input_Raw!CH:CH),"")</f>
        <v/>
      </c>
      <c r="O328" s="137" t="str">
        <f t="shared" si="34"/>
        <v/>
      </c>
      <c r="P328" s="137" t="str">
        <f>IFERROR(1-SUMIF(WTG_BD!$F:$F,$A328,WTG_BD!$AA:$AA)/($AA328+SUMIF(WTG_BD!$F:$F,$A328,WTG_BD!$AA:$AA)),"")</f>
        <v/>
      </c>
      <c r="Q328" s="138" t="str">
        <f>IFERROR(1-SUMIF(IGA_BD!$F:$F,$A328,IGA_BD!$V:$V)/($AA328+SUMIF(IGA_BD!$F:$F,$A328,IGA_BD!$V:$V)),"")</f>
        <v/>
      </c>
      <c r="R328" s="143" t="str">
        <f>IFERROR(1-SUMIF(Grid_BD!$F:$F,$A328,Grid_BD!$X:$X)/($AA328+SUMIF(Grid_BD!$F:$F,$A328,Grid_BD!$X:$X)),"")</f>
        <v/>
      </c>
      <c r="S328" s="121"/>
      <c r="T328" s="138"/>
      <c r="U328" s="139"/>
      <c r="V328" s="121"/>
      <c r="W328" s="140" t="str">
        <f>IFERROR(Table13[[#This Row],[Mtr_Net_Exp (KWh)]]/(24*AR328*1000),"")</f>
        <v/>
      </c>
      <c r="X328" s="121" t="str">
        <f>IFERROR(_xlfn.XLOOKUP($A328,Input_Raw!$A:$A,Input_Raw!$CF:$CF),"")</f>
        <v/>
      </c>
      <c r="Y328" s="121" t="str">
        <f>IFERROR(_xlfn.XLOOKUP($A328,Input_Raw!$A:$A,Input_Raw!$CZ:$CZ),"")</f>
        <v/>
      </c>
      <c r="Z328" s="121" t="str">
        <f>IFERROR(_xlfn.XLOOKUP($A328,Input_Raw!$A:$A,Input_Raw!$DA:$DA),"")</f>
        <v/>
      </c>
      <c r="AA328" s="123" t="str">
        <f t="shared" si="35"/>
        <v/>
      </c>
      <c r="AB328" s="121" t="str">
        <f>IFERROR(_xlfn.XLOOKUP($A328,Input_Raw!$A:$A,Input_Raw!$DG:$DG),"")</f>
        <v/>
      </c>
      <c r="AC328" s="141">
        <f>IFERROR(_xlfn.XLOOKUP($D328,'Modelling New'!$D:$D,'Modelling New'!$J:$J),"")</f>
        <v>4.3</v>
      </c>
      <c r="AD328" s="123">
        <f>IFERROR(_xlfn.XLOOKUP($D328,'Modelling New'!$D:$D,'Modelling New'!$T:$T)*1000,"")</f>
        <v>171913.60080596086</v>
      </c>
      <c r="AE328" s="140"/>
      <c r="AF328" s="140">
        <f>IFERROR(_xlfn.XLOOKUP($D328,'Modelling New'!$D:$D,'Modelling New'!$W:$W),"")</f>
        <v>9.1834188464722688E-2</v>
      </c>
      <c r="AG328" s="140">
        <f>IFERROR(_xlfn.XLOOKUP($D328,'Modelling New'!$D:$D,'Modelling New'!$AE:$AE),"")</f>
        <v>0.96029999999999993</v>
      </c>
      <c r="AH328" s="140">
        <f>IFERROR(_xlfn.XLOOKUP($D328,'Modelling New'!$D:$D,'Modelling New'!$AF:$AF),"")</f>
        <v>0.995</v>
      </c>
      <c r="AI328" s="121" t="str">
        <f>IFERROR(_xlfn.XLOOKUP($A328,Input_Raw!$A:$A,Input_Raw!$DE:$DE),"")</f>
        <v/>
      </c>
      <c r="AJ328" s="121"/>
      <c r="AK328" s="121"/>
      <c r="AL328" s="121"/>
      <c r="AM328" s="121"/>
      <c r="AN328" s="142" t="str">
        <f>IFERROR(_xlfn.XLOOKUP($A328,Input_Raw!$A:$A,Input_Raw!$DB:$DB),"")</f>
        <v/>
      </c>
      <c r="AO328" s="140" t="str">
        <f>IFERROR((_xlfn.XLOOKUP($A328,'WTG Reactive Power'!$A:$A,'WTG Reactive Power'!$AR:$AR))/X328/1000,"")</f>
        <v/>
      </c>
      <c r="AP328" s="140">
        <f>IFERROR(_xlfn.XLOOKUP($D328,'Modelling New'!$D:$D,'Modelling New'!$AK:$AK),"")</f>
        <v>0.05</v>
      </c>
      <c r="AQ328" s="140">
        <f>IFERROR(_xlfn.XLOOKUP($D328,'Modelling New'!$D:$D,'Modelling New'!$AL:$AL),"")</f>
        <v>0.05</v>
      </c>
      <c r="AR328">
        <f>IFERROR(_xlfn.XLOOKUP($D328,'Modelling New'!$D:$D,'Modelling New'!$N:$N),"")</f>
        <v>78</v>
      </c>
    </row>
    <row r="329" spans="1:44">
      <c r="A329" s="134">
        <f t="shared" si="32"/>
        <v>46072</v>
      </c>
      <c r="B329" s="123">
        <f>YEAR(Table13[[#This Row],[Date]])+IF(MONTH(Table13[[#This Row],[Date]])&gt;=4,1,0)</f>
        <v>2026</v>
      </c>
      <c r="C329" s="121">
        <f>YEAR(Table13[[#This Row],[Date]])</f>
        <v>2026</v>
      </c>
      <c r="D329" s="135">
        <f>Table13[[#This Row],[Date]]-DAY(Table13[[#This Row],[Date]])+1</f>
        <v>46054</v>
      </c>
      <c r="E329" s="121">
        <f t="shared" si="33"/>
        <v>28</v>
      </c>
      <c r="F329" s="124"/>
      <c r="G329" s="125"/>
      <c r="H329" s="125"/>
      <c r="I329" s="125"/>
      <c r="J329" s="125"/>
      <c r="K329" s="136"/>
      <c r="L329" s="125"/>
      <c r="M329" s="125" t="str">
        <f>IFERROR(_xlfn.XLOOKUP($A329,Input_Raw!$A:$A,Input_Raw!CG:CG),"")</f>
        <v/>
      </c>
      <c r="N329" s="125" t="str">
        <f>IFERROR(_xlfn.XLOOKUP($A329,Input_Raw!$A:$A,Input_Raw!CH:CH),"")</f>
        <v/>
      </c>
      <c r="O329" s="137" t="str">
        <f t="shared" si="34"/>
        <v/>
      </c>
      <c r="P329" s="137" t="str">
        <f>IFERROR(1-SUMIF(WTG_BD!$F:$F,$A329,WTG_BD!$AA:$AA)/($AA329+SUMIF(WTG_BD!$F:$F,$A329,WTG_BD!$AA:$AA)),"")</f>
        <v/>
      </c>
      <c r="Q329" s="138" t="str">
        <f>IFERROR(1-SUMIF(IGA_BD!$F:$F,$A329,IGA_BD!$V:$V)/($AA329+SUMIF(IGA_BD!$F:$F,$A329,IGA_BD!$V:$V)),"")</f>
        <v/>
      </c>
      <c r="R329" s="143" t="str">
        <f>IFERROR(1-SUMIF(Grid_BD!$F:$F,$A329,Grid_BD!$X:$X)/($AA329+SUMIF(Grid_BD!$F:$F,$A329,Grid_BD!$X:$X)),"")</f>
        <v/>
      </c>
      <c r="S329" s="121"/>
      <c r="T329" s="138"/>
      <c r="U329" s="139"/>
      <c r="V329" s="121"/>
      <c r="W329" s="140" t="str">
        <f>IFERROR(Table13[[#This Row],[Mtr_Net_Exp (KWh)]]/(24*AR329*1000),"")</f>
        <v/>
      </c>
      <c r="X329" s="121" t="str">
        <f>IFERROR(_xlfn.XLOOKUP($A329,Input_Raw!$A:$A,Input_Raw!$CF:$CF),"")</f>
        <v/>
      </c>
      <c r="Y329" s="121" t="str">
        <f>IFERROR(_xlfn.XLOOKUP($A329,Input_Raw!$A:$A,Input_Raw!$CZ:$CZ),"")</f>
        <v/>
      </c>
      <c r="Z329" s="121" t="str">
        <f>IFERROR(_xlfn.XLOOKUP($A329,Input_Raw!$A:$A,Input_Raw!$DA:$DA),"")</f>
        <v/>
      </c>
      <c r="AA329" s="123" t="str">
        <f t="shared" si="35"/>
        <v/>
      </c>
      <c r="AB329" s="121" t="str">
        <f>IFERROR(_xlfn.XLOOKUP($A329,Input_Raw!$A:$A,Input_Raw!$DG:$DG),"")</f>
        <v/>
      </c>
      <c r="AC329" s="141">
        <f>IFERROR(_xlfn.XLOOKUP($D329,'Modelling New'!$D:$D,'Modelling New'!$J:$J),"")</f>
        <v>4.3</v>
      </c>
      <c r="AD329" s="123">
        <f>IFERROR(_xlfn.XLOOKUP($D329,'Modelling New'!$D:$D,'Modelling New'!$T:$T)*1000,"")</f>
        <v>171913.60080596086</v>
      </c>
      <c r="AE329" s="140"/>
      <c r="AF329" s="140">
        <f>IFERROR(_xlfn.XLOOKUP($D329,'Modelling New'!$D:$D,'Modelling New'!$W:$W),"")</f>
        <v>9.1834188464722688E-2</v>
      </c>
      <c r="AG329" s="140">
        <f>IFERROR(_xlfn.XLOOKUP($D329,'Modelling New'!$D:$D,'Modelling New'!$AE:$AE),"")</f>
        <v>0.96029999999999993</v>
      </c>
      <c r="AH329" s="140">
        <f>IFERROR(_xlfn.XLOOKUP($D329,'Modelling New'!$D:$D,'Modelling New'!$AF:$AF),"")</f>
        <v>0.995</v>
      </c>
      <c r="AI329" s="121" t="str">
        <f>IFERROR(_xlfn.XLOOKUP($A329,Input_Raw!$A:$A,Input_Raw!$DE:$DE),"")</f>
        <v/>
      </c>
      <c r="AJ329" s="121"/>
      <c r="AK329" s="121"/>
      <c r="AL329" s="121"/>
      <c r="AM329" s="121"/>
      <c r="AN329" s="142" t="str">
        <f>IFERROR(_xlfn.XLOOKUP($A329,Input_Raw!$A:$A,Input_Raw!$DB:$DB),"")</f>
        <v/>
      </c>
      <c r="AO329" s="140" t="str">
        <f>IFERROR((_xlfn.XLOOKUP($A329,'WTG Reactive Power'!$A:$A,'WTG Reactive Power'!$AR:$AR))/X329/1000,"")</f>
        <v/>
      </c>
      <c r="AP329" s="140">
        <f>IFERROR(_xlfn.XLOOKUP($D329,'Modelling New'!$D:$D,'Modelling New'!$AK:$AK),"")</f>
        <v>0.05</v>
      </c>
      <c r="AQ329" s="140">
        <f>IFERROR(_xlfn.XLOOKUP($D329,'Modelling New'!$D:$D,'Modelling New'!$AL:$AL),"")</f>
        <v>0.05</v>
      </c>
      <c r="AR329">
        <f>IFERROR(_xlfn.XLOOKUP($D329,'Modelling New'!$D:$D,'Modelling New'!$N:$N),"")</f>
        <v>78</v>
      </c>
    </row>
    <row r="330" spans="1:44">
      <c r="A330" s="134">
        <f t="shared" si="32"/>
        <v>46073</v>
      </c>
      <c r="B330" s="123">
        <f>YEAR(Table13[[#This Row],[Date]])+IF(MONTH(Table13[[#This Row],[Date]])&gt;=4,1,0)</f>
        <v>2026</v>
      </c>
      <c r="C330" s="121">
        <f>YEAR(Table13[[#This Row],[Date]])</f>
        <v>2026</v>
      </c>
      <c r="D330" s="135">
        <f>Table13[[#This Row],[Date]]-DAY(Table13[[#This Row],[Date]])+1</f>
        <v>46054</v>
      </c>
      <c r="E330" s="121">
        <f t="shared" si="33"/>
        <v>28</v>
      </c>
      <c r="F330" s="124"/>
      <c r="G330" s="125"/>
      <c r="H330" s="125"/>
      <c r="I330" s="125"/>
      <c r="J330" s="125"/>
      <c r="K330" s="136"/>
      <c r="L330" s="125"/>
      <c r="M330" s="125" t="str">
        <f>IFERROR(_xlfn.XLOOKUP($A330,Input_Raw!$A:$A,Input_Raw!CG:CG),"")</f>
        <v/>
      </c>
      <c r="N330" s="125" t="str">
        <f>IFERROR(_xlfn.XLOOKUP($A330,Input_Raw!$A:$A,Input_Raw!CH:CH),"")</f>
        <v/>
      </c>
      <c r="O330" s="137" t="str">
        <f t="shared" si="34"/>
        <v/>
      </c>
      <c r="P330" s="137" t="str">
        <f>IFERROR(1-SUMIF(WTG_BD!$F:$F,$A330,WTG_BD!$AA:$AA)/($AA330+SUMIF(WTG_BD!$F:$F,$A330,WTG_BD!$AA:$AA)),"")</f>
        <v/>
      </c>
      <c r="Q330" s="138" t="str">
        <f>IFERROR(1-SUMIF(IGA_BD!$F:$F,$A330,IGA_BD!$V:$V)/($AA330+SUMIF(IGA_BD!$F:$F,$A330,IGA_BD!$V:$V)),"")</f>
        <v/>
      </c>
      <c r="R330" s="143" t="str">
        <f>IFERROR(1-SUMIF(Grid_BD!$F:$F,$A330,Grid_BD!$X:$X)/($AA330+SUMIF(Grid_BD!$F:$F,$A330,Grid_BD!$X:$X)),"")</f>
        <v/>
      </c>
      <c r="S330" s="121"/>
      <c r="T330" s="138"/>
      <c r="U330" s="139"/>
      <c r="V330" s="121"/>
      <c r="W330" s="140" t="str">
        <f>IFERROR(Table13[[#This Row],[Mtr_Net_Exp (KWh)]]/(24*AR330*1000),"")</f>
        <v/>
      </c>
      <c r="X330" s="121" t="str">
        <f>IFERROR(_xlfn.XLOOKUP($A330,Input_Raw!$A:$A,Input_Raw!$CF:$CF),"")</f>
        <v/>
      </c>
      <c r="Y330" s="121" t="str">
        <f>IFERROR(_xlfn.XLOOKUP($A330,Input_Raw!$A:$A,Input_Raw!$CZ:$CZ),"")</f>
        <v/>
      </c>
      <c r="Z330" s="121" t="str">
        <f>IFERROR(_xlfn.XLOOKUP($A330,Input_Raw!$A:$A,Input_Raw!$DA:$DA),"")</f>
        <v/>
      </c>
      <c r="AA330" s="123" t="str">
        <f t="shared" si="35"/>
        <v/>
      </c>
      <c r="AB330" s="121" t="str">
        <f>IFERROR(_xlfn.XLOOKUP($A330,Input_Raw!$A:$A,Input_Raw!$DG:$DG),"")</f>
        <v/>
      </c>
      <c r="AC330" s="141">
        <f>IFERROR(_xlfn.XLOOKUP($D330,'Modelling New'!$D:$D,'Modelling New'!$J:$J),"")</f>
        <v>4.3</v>
      </c>
      <c r="AD330" s="123">
        <f>IFERROR(_xlfn.XLOOKUP($D330,'Modelling New'!$D:$D,'Modelling New'!$T:$T)*1000,"")</f>
        <v>171913.60080596086</v>
      </c>
      <c r="AE330" s="140"/>
      <c r="AF330" s="140">
        <f>IFERROR(_xlfn.XLOOKUP($D330,'Modelling New'!$D:$D,'Modelling New'!$W:$W),"")</f>
        <v>9.1834188464722688E-2</v>
      </c>
      <c r="AG330" s="140">
        <f>IFERROR(_xlfn.XLOOKUP($D330,'Modelling New'!$D:$D,'Modelling New'!$AE:$AE),"")</f>
        <v>0.96029999999999993</v>
      </c>
      <c r="AH330" s="140">
        <f>IFERROR(_xlfn.XLOOKUP($D330,'Modelling New'!$D:$D,'Modelling New'!$AF:$AF),"")</f>
        <v>0.995</v>
      </c>
      <c r="AI330" s="121" t="str">
        <f>IFERROR(_xlfn.XLOOKUP($A330,Input_Raw!$A:$A,Input_Raw!$DE:$DE),"")</f>
        <v/>
      </c>
      <c r="AJ330" s="121"/>
      <c r="AK330" s="121"/>
      <c r="AL330" s="121"/>
      <c r="AM330" s="121"/>
      <c r="AN330" s="142" t="str">
        <f>IFERROR(_xlfn.XLOOKUP($A330,Input_Raw!$A:$A,Input_Raw!$DB:$DB),"")</f>
        <v/>
      </c>
      <c r="AO330" s="140" t="str">
        <f>IFERROR((_xlfn.XLOOKUP($A330,'WTG Reactive Power'!$A:$A,'WTG Reactive Power'!$AR:$AR))/X330/1000,"")</f>
        <v/>
      </c>
      <c r="AP330" s="140">
        <f>IFERROR(_xlfn.XLOOKUP($D330,'Modelling New'!$D:$D,'Modelling New'!$AK:$AK),"")</f>
        <v>0.05</v>
      </c>
      <c r="AQ330" s="140">
        <f>IFERROR(_xlfn.XLOOKUP($D330,'Modelling New'!$D:$D,'Modelling New'!$AL:$AL),"")</f>
        <v>0.05</v>
      </c>
      <c r="AR330">
        <f>IFERROR(_xlfn.XLOOKUP($D330,'Modelling New'!$D:$D,'Modelling New'!$N:$N),"")</f>
        <v>78</v>
      </c>
    </row>
    <row r="331" spans="1:44">
      <c r="A331" s="134">
        <f t="shared" si="32"/>
        <v>46074</v>
      </c>
      <c r="B331" s="123">
        <f>YEAR(Table13[[#This Row],[Date]])+IF(MONTH(Table13[[#This Row],[Date]])&gt;=4,1,0)</f>
        <v>2026</v>
      </c>
      <c r="C331" s="121">
        <f>YEAR(Table13[[#This Row],[Date]])</f>
        <v>2026</v>
      </c>
      <c r="D331" s="135">
        <f>Table13[[#This Row],[Date]]-DAY(Table13[[#This Row],[Date]])+1</f>
        <v>46054</v>
      </c>
      <c r="E331" s="121">
        <f t="shared" si="33"/>
        <v>28</v>
      </c>
      <c r="F331" s="124"/>
      <c r="G331" s="125"/>
      <c r="H331" s="125"/>
      <c r="I331" s="125"/>
      <c r="J331" s="125"/>
      <c r="K331" s="136"/>
      <c r="L331" s="125"/>
      <c r="M331" s="125" t="str">
        <f>IFERROR(_xlfn.XLOOKUP($A331,Input_Raw!$A:$A,Input_Raw!CG:CG),"")</f>
        <v/>
      </c>
      <c r="N331" s="125" t="str">
        <f>IFERROR(_xlfn.XLOOKUP($A331,Input_Raw!$A:$A,Input_Raw!CH:CH),"")</f>
        <v/>
      </c>
      <c r="O331" s="137" t="str">
        <f t="shared" si="34"/>
        <v/>
      </c>
      <c r="P331" s="137" t="str">
        <f>IFERROR(1-SUMIF(WTG_BD!$F:$F,$A331,WTG_BD!$AA:$AA)/($AA331+SUMIF(WTG_BD!$F:$F,$A331,WTG_BD!$AA:$AA)),"")</f>
        <v/>
      </c>
      <c r="Q331" s="138" t="str">
        <f>IFERROR(1-SUMIF(IGA_BD!$F:$F,$A331,IGA_BD!$V:$V)/($AA331+SUMIF(IGA_BD!$F:$F,$A331,IGA_BD!$V:$V)),"")</f>
        <v/>
      </c>
      <c r="R331" s="143" t="str">
        <f>IFERROR(1-SUMIF(Grid_BD!$F:$F,$A331,Grid_BD!$X:$X)/($AA331+SUMIF(Grid_BD!$F:$F,$A331,Grid_BD!$X:$X)),"")</f>
        <v/>
      </c>
      <c r="S331" s="121"/>
      <c r="T331" s="138"/>
      <c r="U331" s="139"/>
      <c r="V331" s="121"/>
      <c r="W331" s="140" t="str">
        <f>IFERROR(Table13[[#This Row],[Mtr_Net_Exp (KWh)]]/(24*AR331*1000),"")</f>
        <v/>
      </c>
      <c r="X331" s="121" t="str">
        <f>IFERROR(_xlfn.XLOOKUP($A331,Input_Raw!$A:$A,Input_Raw!$CF:$CF),"")</f>
        <v/>
      </c>
      <c r="Y331" s="121" t="str">
        <f>IFERROR(_xlfn.XLOOKUP($A331,Input_Raw!$A:$A,Input_Raw!$CZ:$CZ),"")</f>
        <v/>
      </c>
      <c r="Z331" s="121" t="str">
        <f>IFERROR(_xlfn.XLOOKUP($A331,Input_Raw!$A:$A,Input_Raw!$DA:$DA),"")</f>
        <v/>
      </c>
      <c r="AA331" s="123" t="str">
        <f t="shared" si="35"/>
        <v/>
      </c>
      <c r="AB331" s="121" t="str">
        <f>IFERROR(_xlfn.XLOOKUP($A331,Input_Raw!$A:$A,Input_Raw!$DG:$DG),"")</f>
        <v/>
      </c>
      <c r="AC331" s="141">
        <f>IFERROR(_xlfn.XLOOKUP($D331,'Modelling New'!$D:$D,'Modelling New'!$J:$J),"")</f>
        <v>4.3</v>
      </c>
      <c r="AD331" s="123">
        <f>IFERROR(_xlfn.XLOOKUP($D331,'Modelling New'!$D:$D,'Modelling New'!$T:$T)*1000,"")</f>
        <v>171913.60080596086</v>
      </c>
      <c r="AE331" s="140"/>
      <c r="AF331" s="140">
        <f>IFERROR(_xlfn.XLOOKUP($D331,'Modelling New'!$D:$D,'Modelling New'!$W:$W),"")</f>
        <v>9.1834188464722688E-2</v>
      </c>
      <c r="AG331" s="140">
        <f>IFERROR(_xlfn.XLOOKUP($D331,'Modelling New'!$D:$D,'Modelling New'!$AE:$AE),"")</f>
        <v>0.96029999999999993</v>
      </c>
      <c r="AH331" s="140">
        <f>IFERROR(_xlfn.XLOOKUP($D331,'Modelling New'!$D:$D,'Modelling New'!$AF:$AF),"")</f>
        <v>0.995</v>
      </c>
      <c r="AI331" s="121" t="str">
        <f>IFERROR(_xlfn.XLOOKUP($A331,Input_Raw!$A:$A,Input_Raw!$DE:$DE),"")</f>
        <v/>
      </c>
      <c r="AJ331" s="121"/>
      <c r="AK331" s="121"/>
      <c r="AL331" s="121"/>
      <c r="AM331" s="121"/>
      <c r="AN331" s="142" t="str">
        <f>IFERROR(_xlfn.XLOOKUP($A331,Input_Raw!$A:$A,Input_Raw!$DB:$DB),"")</f>
        <v/>
      </c>
      <c r="AO331" s="140" t="str">
        <f>IFERROR((_xlfn.XLOOKUP($A331,'WTG Reactive Power'!$A:$A,'WTG Reactive Power'!$AR:$AR))/X331/1000,"")</f>
        <v/>
      </c>
      <c r="AP331" s="140">
        <f>IFERROR(_xlfn.XLOOKUP($D331,'Modelling New'!$D:$D,'Modelling New'!$AK:$AK),"")</f>
        <v>0.05</v>
      </c>
      <c r="AQ331" s="140">
        <f>IFERROR(_xlfn.XLOOKUP($D331,'Modelling New'!$D:$D,'Modelling New'!$AL:$AL),"")</f>
        <v>0.05</v>
      </c>
      <c r="AR331">
        <f>IFERROR(_xlfn.XLOOKUP($D331,'Modelling New'!$D:$D,'Modelling New'!$N:$N),"")</f>
        <v>78</v>
      </c>
    </row>
    <row r="332" spans="1:44">
      <c r="A332" s="134">
        <f t="shared" si="32"/>
        <v>46075</v>
      </c>
      <c r="B332" s="123">
        <f>YEAR(Table13[[#This Row],[Date]])+IF(MONTH(Table13[[#This Row],[Date]])&gt;=4,1,0)</f>
        <v>2026</v>
      </c>
      <c r="C332" s="121">
        <f>YEAR(Table13[[#This Row],[Date]])</f>
        <v>2026</v>
      </c>
      <c r="D332" s="135">
        <f>Table13[[#This Row],[Date]]-DAY(Table13[[#This Row],[Date]])+1</f>
        <v>46054</v>
      </c>
      <c r="E332" s="121">
        <f t="shared" si="33"/>
        <v>28</v>
      </c>
      <c r="F332" s="124"/>
      <c r="G332" s="125"/>
      <c r="H332" s="125"/>
      <c r="I332" s="125"/>
      <c r="J332" s="125"/>
      <c r="K332" s="136"/>
      <c r="L332" s="125"/>
      <c r="M332" s="125" t="str">
        <f>IFERROR(_xlfn.XLOOKUP($A332,Input_Raw!$A:$A,Input_Raw!CG:CG),"")</f>
        <v/>
      </c>
      <c r="N332" s="125" t="str">
        <f>IFERROR(_xlfn.XLOOKUP($A332,Input_Raw!$A:$A,Input_Raw!CH:CH),"")</f>
        <v/>
      </c>
      <c r="O332" s="137" t="str">
        <f t="shared" si="34"/>
        <v/>
      </c>
      <c r="P332" s="137" t="str">
        <f>IFERROR(1-SUMIF(WTG_BD!$F:$F,$A332,WTG_BD!$AA:$AA)/($AA332+SUMIF(WTG_BD!$F:$F,$A332,WTG_BD!$AA:$AA)),"")</f>
        <v/>
      </c>
      <c r="Q332" s="138" t="str">
        <f>IFERROR(1-SUMIF(IGA_BD!$F:$F,$A332,IGA_BD!$V:$V)/($AA332+SUMIF(IGA_BD!$F:$F,$A332,IGA_BD!$V:$V)),"")</f>
        <v/>
      </c>
      <c r="R332" s="143" t="str">
        <f>IFERROR(1-SUMIF(Grid_BD!$F:$F,$A332,Grid_BD!$X:$X)/($AA332+SUMIF(Grid_BD!$F:$F,$A332,Grid_BD!$X:$X)),"")</f>
        <v/>
      </c>
      <c r="S332" s="121"/>
      <c r="T332" s="138"/>
      <c r="U332" s="139"/>
      <c r="V332" s="121"/>
      <c r="W332" s="140" t="str">
        <f>IFERROR(Table13[[#This Row],[Mtr_Net_Exp (KWh)]]/(24*AR332*1000),"")</f>
        <v/>
      </c>
      <c r="X332" s="121" t="str">
        <f>IFERROR(_xlfn.XLOOKUP($A332,Input_Raw!$A:$A,Input_Raw!$CF:$CF),"")</f>
        <v/>
      </c>
      <c r="Y332" s="121" t="str">
        <f>IFERROR(_xlfn.XLOOKUP($A332,Input_Raw!$A:$A,Input_Raw!$CZ:$CZ),"")</f>
        <v/>
      </c>
      <c r="Z332" s="121" t="str">
        <f>IFERROR(_xlfn.XLOOKUP($A332,Input_Raw!$A:$A,Input_Raw!$DA:$DA),"")</f>
        <v/>
      </c>
      <c r="AA332" s="123" t="str">
        <f t="shared" si="35"/>
        <v/>
      </c>
      <c r="AB332" s="121" t="str">
        <f>IFERROR(_xlfn.XLOOKUP($A332,Input_Raw!$A:$A,Input_Raw!$DG:$DG),"")</f>
        <v/>
      </c>
      <c r="AC332" s="141">
        <f>IFERROR(_xlfn.XLOOKUP($D332,'Modelling New'!$D:$D,'Modelling New'!$J:$J),"")</f>
        <v>4.3</v>
      </c>
      <c r="AD332" s="123">
        <f>IFERROR(_xlfn.XLOOKUP($D332,'Modelling New'!$D:$D,'Modelling New'!$T:$T)*1000,"")</f>
        <v>171913.60080596086</v>
      </c>
      <c r="AE332" s="140"/>
      <c r="AF332" s="140">
        <f>IFERROR(_xlfn.XLOOKUP($D332,'Modelling New'!$D:$D,'Modelling New'!$W:$W),"")</f>
        <v>9.1834188464722688E-2</v>
      </c>
      <c r="AG332" s="140">
        <f>IFERROR(_xlfn.XLOOKUP($D332,'Modelling New'!$D:$D,'Modelling New'!$AE:$AE),"")</f>
        <v>0.96029999999999993</v>
      </c>
      <c r="AH332" s="140">
        <f>IFERROR(_xlfn.XLOOKUP($D332,'Modelling New'!$D:$D,'Modelling New'!$AF:$AF),"")</f>
        <v>0.995</v>
      </c>
      <c r="AI332" s="121" t="str">
        <f>IFERROR(_xlfn.XLOOKUP($A332,Input_Raw!$A:$A,Input_Raw!$DE:$DE),"")</f>
        <v/>
      </c>
      <c r="AJ332" s="121"/>
      <c r="AK332" s="121"/>
      <c r="AL332" s="121"/>
      <c r="AM332" s="121"/>
      <c r="AN332" s="142" t="str">
        <f>IFERROR(_xlfn.XLOOKUP($A332,Input_Raw!$A:$A,Input_Raw!$DB:$DB),"")</f>
        <v/>
      </c>
      <c r="AO332" s="140" t="str">
        <f>IFERROR((_xlfn.XLOOKUP($A332,'WTG Reactive Power'!$A:$A,'WTG Reactive Power'!$AR:$AR))/X332/1000,"")</f>
        <v/>
      </c>
      <c r="AP332" s="140">
        <f>IFERROR(_xlfn.XLOOKUP($D332,'Modelling New'!$D:$D,'Modelling New'!$AK:$AK),"")</f>
        <v>0.05</v>
      </c>
      <c r="AQ332" s="140">
        <f>IFERROR(_xlfn.XLOOKUP($D332,'Modelling New'!$D:$D,'Modelling New'!$AL:$AL),"")</f>
        <v>0.05</v>
      </c>
      <c r="AR332">
        <f>IFERROR(_xlfn.XLOOKUP($D332,'Modelling New'!$D:$D,'Modelling New'!$N:$N),"")</f>
        <v>78</v>
      </c>
    </row>
    <row r="333" spans="1:44">
      <c r="A333" s="134">
        <f t="shared" si="32"/>
        <v>46076</v>
      </c>
      <c r="B333" s="123">
        <f>YEAR(Table13[[#This Row],[Date]])+IF(MONTH(Table13[[#This Row],[Date]])&gt;=4,1,0)</f>
        <v>2026</v>
      </c>
      <c r="C333" s="121">
        <f>YEAR(Table13[[#This Row],[Date]])</f>
        <v>2026</v>
      </c>
      <c r="D333" s="135">
        <f>Table13[[#This Row],[Date]]-DAY(Table13[[#This Row],[Date]])+1</f>
        <v>46054</v>
      </c>
      <c r="E333" s="121">
        <f t="shared" si="33"/>
        <v>28</v>
      </c>
      <c r="F333" s="124"/>
      <c r="G333" s="125"/>
      <c r="H333" s="125"/>
      <c r="I333" s="125"/>
      <c r="J333" s="125"/>
      <c r="K333" s="136"/>
      <c r="L333" s="125"/>
      <c r="M333" s="125" t="str">
        <f>IFERROR(_xlfn.XLOOKUP($A333,Input_Raw!$A:$A,Input_Raw!CG:CG),"")</f>
        <v/>
      </c>
      <c r="N333" s="125" t="str">
        <f>IFERROR(_xlfn.XLOOKUP($A333,Input_Raw!$A:$A,Input_Raw!CH:CH),"")</f>
        <v/>
      </c>
      <c r="O333" s="137" t="str">
        <f t="shared" si="34"/>
        <v/>
      </c>
      <c r="P333" s="137" t="str">
        <f>IFERROR(1-SUMIF(WTG_BD!$F:$F,$A333,WTG_BD!$AA:$AA)/($AA333+SUMIF(WTG_BD!$F:$F,$A333,WTG_BD!$AA:$AA)),"")</f>
        <v/>
      </c>
      <c r="Q333" s="138" t="str">
        <f>IFERROR(1-SUMIF(IGA_BD!$F:$F,$A333,IGA_BD!$V:$V)/($AA333+SUMIF(IGA_BD!$F:$F,$A333,IGA_BD!$V:$V)),"")</f>
        <v/>
      </c>
      <c r="R333" s="143" t="str">
        <f>IFERROR(1-SUMIF(Grid_BD!$F:$F,$A333,Grid_BD!$X:$X)/($AA333+SUMIF(Grid_BD!$F:$F,$A333,Grid_BD!$X:$X)),"")</f>
        <v/>
      </c>
      <c r="S333" s="121"/>
      <c r="T333" s="138"/>
      <c r="U333" s="139"/>
      <c r="V333" s="121"/>
      <c r="W333" s="140" t="str">
        <f>IFERROR(Table13[[#This Row],[Mtr_Net_Exp (KWh)]]/(24*AR333*1000),"")</f>
        <v/>
      </c>
      <c r="X333" s="121" t="str">
        <f>IFERROR(_xlfn.XLOOKUP($A333,Input_Raw!$A:$A,Input_Raw!$CF:$CF),"")</f>
        <v/>
      </c>
      <c r="Y333" s="121" t="str">
        <f>IFERROR(_xlfn.XLOOKUP($A333,Input_Raw!$A:$A,Input_Raw!$CZ:$CZ),"")</f>
        <v/>
      </c>
      <c r="Z333" s="121" t="str">
        <f>IFERROR(_xlfn.XLOOKUP($A333,Input_Raw!$A:$A,Input_Raw!$DA:$DA),"")</f>
        <v/>
      </c>
      <c r="AA333" s="123" t="str">
        <f t="shared" si="35"/>
        <v/>
      </c>
      <c r="AB333" s="121" t="str">
        <f>IFERROR(_xlfn.XLOOKUP($A333,Input_Raw!$A:$A,Input_Raw!$DG:$DG),"")</f>
        <v/>
      </c>
      <c r="AC333" s="141">
        <f>IFERROR(_xlfn.XLOOKUP($D333,'Modelling New'!$D:$D,'Modelling New'!$J:$J),"")</f>
        <v>4.3</v>
      </c>
      <c r="AD333" s="123">
        <f>IFERROR(_xlfn.XLOOKUP($D333,'Modelling New'!$D:$D,'Modelling New'!$T:$T)*1000,"")</f>
        <v>171913.60080596086</v>
      </c>
      <c r="AE333" s="140"/>
      <c r="AF333" s="140">
        <f>IFERROR(_xlfn.XLOOKUP($D333,'Modelling New'!$D:$D,'Modelling New'!$W:$W),"")</f>
        <v>9.1834188464722688E-2</v>
      </c>
      <c r="AG333" s="140">
        <f>IFERROR(_xlfn.XLOOKUP($D333,'Modelling New'!$D:$D,'Modelling New'!$AE:$AE),"")</f>
        <v>0.96029999999999993</v>
      </c>
      <c r="AH333" s="140">
        <f>IFERROR(_xlfn.XLOOKUP($D333,'Modelling New'!$D:$D,'Modelling New'!$AF:$AF),"")</f>
        <v>0.995</v>
      </c>
      <c r="AI333" s="121" t="str">
        <f>IFERROR(_xlfn.XLOOKUP($A333,Input_Raw!$A:$A,Input_Raw!$DE:$DE),"")</f>
        <v/>
      </c>
      <c r="AJ333" s="121"/>
      <c r="AK333" s="121"/>
      <c r="AL333" s="121"/>
      <c r="AM333" s="121"/>
      <c r="AN333" s="142" t="str">
        <f>IFERROR(_xlfn.XLOOKUP($A333,Input_Raw!$A:$A,Input_Raw!$DB:$DB),"")</f>
        <v/>
      </c>
      <c r="AO333" s="140" t="str">
        <f>IFERROR((_xlfn.XLOOKUP($A333,'WTG Reactive Power'!$A:$A,'WTG Reactive Power'!$AR:$AR))/X333/1000,"")</f>
        <v/>
      </c>
      <c r="AP333" s="140">
        <f>IFERROR(_xlfn.XLOOKUP($D333,'Modelling New'!$D:$D,'Modelling New'!$AK:$AK),"")</f>
        <v>0.05</v>
      </c>
      <c r="AQ333" s="140">
        <f>IFERROR(_xlfn.XLOOKUP($D333,'Modelling New'!$D:$D,'Modelling New'!$AL:$AL),"")</f>
        <v>0.05</v>
      </c>
      <c r="AR333">
        <f>IFERROR(_xlfn.XLOOKUP($D333,'Modelling New'!$D:$D,'Modelling New'!$N:$N),"")</f>
        <v>78</v>
      </c>
    </row>
    <row r="334" spans="1:44">
      <c r="A334" s="134">
        <f t="shared" si="32"/>
        <v>46077</v>
      </c>
      <c r="B334" s="123">
        <f>YEAR(Table13[[#This Row],[Date]])+IF(MONTH(Table13[[#This Row],[Date]])&gt;=4,1,0)</f>
        <v>2026</v>
      </c>
      <c r="C334" s="121">
        <f>YEAR(Table13[[#This Row],[Date]])</f>
        <v>2026</v>
      </c>
      <c r="D334" s="135">
        <f>Table13[[#This Row],[Date]]-DAY(Table13[[#This Row],[Date]])+1</f>
        <v>46054</v>
      </c>
      <c r="E334" s="121">
        <f t="shared" si="33"/>
        <v>28</v>
      </c>
      <c r="F334" s="124"/>
      <c r="G334" s="125"/>
      <c r="H334" s="125"/>
      <c r="I334" s="125"/>
      <c r="J334" s="125"/>
      <c r="K334" s="136"/>
      <c r="L334" s="125"/>
      <c r="M334" s="125" t="str">
        <f>IFERROR(_xlfn.XLOOKUP($A334,Input_Raw!$A:$A,Input_Raw!CG:CG),"")</f>
        <v/>
      </c>
      <c r="N334" s="125" t="str">
        <f>IFERROR(_xlfn.XLOOKUP($A334,Input_Raw!$A:$A,Input_Raw!CH:CH),"")</f>
        <v/>
      </c>
      <c r="O334" s="137" t="str">
        <f t="shared" si="34"/>
        <v/>
      </c>
      <c r="P334" s="137" t="str">
        <f>IFERROR(1-SUMIF(WTG_BD!$F:$F,$A334,WTG_BD!$AA:$AA)/($AA334+SUMIF(WTG_BD!$F:$F,$A334,WTG_BD!$AA:$AA)),"")</f>
        <v/>
      </c>
      <c r="Q334" s="138" t="str">
        <f>IFERROR(1-SUMIF(IGA_BD!$F:$F,$A334,IGA_BD!$V:$V)/($AA334+SUMIF(IGA_BD!$F:$F,$A334,IGA_BD!$V:$V)),"")</f>
        <v/>
      </c>
      <c r="R334" s="143" t="str">
        <f>IFERROR(1-SUMIF(Grid_BD!$F:$F,$A334,Grid_BD!$X:$X)/($AA334+SUMIF(Grid_BD!$F:$F,$A334,Grid_BD!$X:$X)),"")</f>
        <v/>
      </c>
      <c r="S334" s="121"/>
      <c r="T334" s="138"/>
      <c r="U334" s="139"/>
      <c r="V334" s="121"/>
      <c r="W334" s="140" t="str">
        <f>IFERROR(Table13[[#This Row],[Mtr_Net_Exp (KWh)]]/(24*AR334*1000),"")</f>
        <v/>
      </c>
      <c r="X334" s="121" t="str">
        <f>IFERROR(_xlfn.XLOOKUP($A334,Input_Raw!$A:$A,Input_Raw!$CF:$CF),"")</f>
        <v/>
      </c>
      <c r="Y334" s="121" t="str">
        <f>IFERROR(_xlfn.XLOOKUP($A334,Input_Raw!$A:$A,Input_Raw!$CZ:$CZ),"")</f>
        <v/>
      </c>
      <c r="Z334" s="121" t="str">
        <f>IFERROR(_xlfn.XLOOKUP($A334,Input_Raw!$A:$A,Input_Raw!$DA:$DA),"")</f>
        <v/>
      </c>
      <c r="AA334" s="123" t="str">
        <f t="shared" si="35"/>
        <v/>
      </c>
      <c r="AB334" s="121" t="str">
        <f>IFERROR(_xlfn.XLOOKUP($A334,Input_Raw!$A:$A,Input_Raw!$DG:$DG),"")</f>
        <v/>
      </c>
      <c r="AC334" s="141">
        <f>IFERROR(_xlfn.XLOOKUP($D334,'Modelling New'!$D:$D,'Modelling New'!$J:$J),"")</f>
        <v>4.3</v>
      </c>
      <c r="AD334" s="123">
        <f>IFERROR(_xlfn.XLOOKUP($D334,'Modelling New'!$D:$D,'Modelling New'!$T:$T)*1000,"")</f>
        <v>171913.60080596086</v>
      </c>
      <c r="AE334" s="140"/>
      <c r="AF334" s="140">
        <f>IFERROR(_xlfn.XLOOKUP($D334,'Modelling New'!$D:$D,'Modelling New'!$W:$W),"")</f>
        <v>9.1834188464722688E-2</v>
      </c>
      <c r="AG334" s="140">
        <f>IFERROR(_xlfn.XLOOKUP($D334,'Modelling New'!$D:$D,'Modelling New'!$AE:$AE),"")</f>
        <v>0.96029999999999993</v>
      </c>
      <c r="AH334" s="140">
        <f>IFERROR(_xlfn.XLOOKUP($D334,'Modelling New'!$D:$D,'Modelling New'!$AF:$AF),"")</f>
        <v>0.995</v>
      </c>
      <c r="AI334" s="121" t="str">
        <f>IFERROR(_xlfn.XLOOKUP($A334,Input_Raw!$A:$A,Input_Raw!$DE:$DE),"")</f>
        <v/>
      </c>
      <c r="AJ334" s="121"/>
      <c r="AK334" s="121"/>
      <c r="AL334" s="121"/>
      <c r="AM334" s="121"/>
      <c r="AN334" s="142" t="str">
        <f>IFERROR(_xlfn.XLOOKUP($A334,Input_Raw!$A:$A,Input_Raw!$DB:$DB),"")</f>
        <v/>
      </c>
      <c r="AO334" s="140" t="str">
        <f>IFERROR((_xlfn.XLOOKUP($A334,'WTG Reactive Power'!$A:$A,'WTG Reactive Power'!$AR:$AR))/X334/1000,"")</f>
        <v/>
      </c>
      <c r="AP334" s="140">
        <f>IFERROR(_xlfn.XLOOKUP($D334,'Modelling New'!$D:$D,'Modelling New'!$AK:$AK),"")</f>
        <v>0.05</v>
      </c>
      <c r="AQ334" s="140">
        <f>IFERROR(_xlfn.XLOOKUP($D334,'Modelling New'!$D:$D,'Modelling New'!$AL:$AL),"")</f>
        <v>0.05</v>
      </c>
      <c r="AR334">
        <f>IFERROR(_xlfn.XLOOKUP($D334,'Modelling New'!$D:$D,'Modelling New'!$N:$N),"")</f>
        <v>78</v>
      </c>
    </row>
    <row r="335" spans="1:44">
      <c r="A335" s="134">
        <f t="shared" si="32"/>
        <v>46078</v>
      </c>
      <c r="B335" s="123">
        <f>YEAR(Table13[[#This Row],[Date]])+IF(MONTH(Table13[[#This Row],[Date]])&gt;=4,1,0)</f>
        <v>2026</v>
      </c>
      <c r="C335" s="121">
        <f>YEAR(Table13[[#This Row],[Date]])</f>
        <v>2026</v>
      </c>
      <c r="D335" s="135">
        <f>Table13[[#This Row],[Date]]-DAY(Table13[[#This Row],[Date]])+1</f>
        <v>46054</v>
      </c>
      <c r="E335" s="121">
        <f t="shared" si="33"/>
        <v>28</v>
      </c>
      <c r="F335" s="124"/>
      <c r="G335" s="125"/>
      <c r="H335" s="125"/>
      <c r="I335" s="125"/>
      <c r="J335" s="125"/>
      <c r="K335" s="136"/>
      <c r="L335" s="125"/>
      <c r="M335" s="125" t="str">
        <f>IFERROR(_xlfn.XLOOKUP($A335,Input_Raw!$A:$A,Input_Raw!CG:CG),"")</f>
        <v/>
      </c>
      <c r="N335" s="125" t="str">
        <f>IFERROR(_xlfn.XLOOKUP($A335,Input_Raw!$A:$A,Input_Raw!CH:CH),"")</f>
        <v/>
      </c>
      <c r="O335" s="137" t="str">
        <f t="shared" si="34"/>
        <v/>
      </c>
      <c r="P335" s="137" t="str">
        <f>IFERROR(1-SUMIF(WTG_BD!$F:$F,$A335,WTG_BD!$AA:$AA)/($AA335+SUMIF(WTG_BD!$F:$F,$A335,WTG_BD!$AA:$AA)),"")</f>
        <v/>
      </c>
      <c r="Q335" s="138" t="str">
        <f>IFERROR(1-SUMIF(IGA_BD!$F:$F,$A335,IGA_BD!$V:$V)/($AA335+SUMIF(IGA_BD!$F:$F,$A335,IGA_BD!$V:$V)),"")</f>
        <v/>
      </c>
      <c r="R335" s="143" t="str">
        <f>IFERROR(1-SUMIF(Grid_BD!$F:$F,$A335,Grid_BD!$X:$X)/($AA335+SUMIF(Grid_BD!$F:$F,$A335,Grid_BD!$X:$X)),"")</f>
        <v/>
      </c>
      <c r="S335" s="121"/>
      <c r="T335" s="138"/>
      <c r="U335" s="139"/>
      <c r="V335" s="121"/>
      <c r="W335" s="140" t="str">
        <f>IFERROR(Table13[[#This Row],[Mtr_Net_Exp (KWh)]]/(24*AR335*1000),"")</f>
        <v/>
      </c>
      <c r="X335" s="121" t="str">
        <f>IFERROR(_xlfn.XLOOKUP($A335,Input_Raw!$A:$A,Input_Raw!$CF:$CF),"")</f>
        <v/>
      </c>
      <c r="Y335" s="121" t="str">
        <f>IFERROR(_xlfn.XLOOKUP($A335,Input_Raw!$A:$A,Input_Raw!$CZ:$CZ),"")</f>
        <v/>
      </c>
      <c r="Z335" s="121" t="str">
        <f>IFERROR(_xlfn.XLOOKUP($A335,Input_Raw!$A:$A,Input_Raw!$DA:$DA),"")</f>
        <v/>
      </c>
      <c r="AA335" s="123" t="str">
        <f t="shared" si="35"/>
        <v/>
      </c>
      <c r="AB335" s="121" t="str">
        <f>IFERROR(_xlfn.XLOOKUP($A335,Input_Raw!$A:$A,Input_Raw!$DG:$DG),"")</f>
        <v/>
      </c>
      <c r="AC335" s="141">
        <f>IFERROR(_xlfn.XLOOKUP($D335,'Modelling New'!$D:$D,'Modelling New'!$J:$J),"")</f>
        <v>4.3</v>
      </c>
      <c r="AD335" s="123">
        <f>IFERROR(_xlfn.XLOOKUP($D335,'Modelling New'!$D:$D,'Modelling New'!$T:$T)*1000,"")</f>
        <v>171913.60080596086</v>
      </c>
      <c r="AE335" s="140"/>
      <c r="AF335" s="140">
        <f>IFERROR(_xlfn.XLOOKUP($D335,'Modelling New'!$D:$D,'Modelling New'!$W:$W),"")</f>
        <v>9.1834188464722688E-2</v>
      </c>
      <c r="AG335" s="140">
        <f>IFERROR(_xlfn.XLOOKUP($D335,'Modelling New'!$D:$D,'Modelling New'!$AE:$AE),"")</f>
        <v>0.96029999999999993</v>
      </c>
      <c r="AH335" s="140">
        <f>IFERROR(_xlfn.XLOOKUP($D335,'Modelling New'!$D:$D,'Modelling New'!$AF:$AF),"")</f>
        <v>0.995</v>
      </c>
      <c r="AI335" s="121" t="str">
        <f>IFERROR(_xlfn.XLOOKUP($A335,Input_Raw!$A:$A,Input_Raw!$DE:$DE),"")</f>
        <v/>
      </c>
      <c r="AJ335" s="121"/>
      <c r="AK335" s="121"/>
      <c r="AL335" s="121"/>
      <c r="AM335" s="121"/>
      <c r="AN335" s="142" t="str">
        <f>IFERROR(_xlfn.XLOOKUP($A335,Input_Raw!$A:$A,Input_Raw!$DB:$DB),"")</f>
        <v/>
      </c>
      <c r="AO335" s="140" t="str">
        <f>IFERROR((_xlfn.XLOOKUP($A335,'WTG Reactive Power'!$A:$A,'WTG Reactive Power'!$AR:$AR))/X335/1000,"")</f>
        <v/>
      </c>
      <c r="AP335" s="140">
        <f>IFERROR(_xlfn.XLOOKUP($D335,'Modelling New'!$D:$D,'Modelling New'!$AK:$AK),"")</f>
        <v>0.05</v>
      </c>
      <c r="AQ335" s="140">
        <f>IFERROR(_xlfn.XLOOKUP($D335,'Modelling New'!$D:$D,'Modelling New'!$AL:$AL),"")</f>
        <v>0.05</v>
      </c>
      <c r="AR335">
        <f>IFERROR(_xlfn.XLOOKUP($D335,'Modelling New'!$D:$D,'Modelling New'!$N:$N),"")</f>
        <v>78</v>
      </c>
    </row>
    <row r="336" spans="1:44">
      <c r="A336" s="134">
        <f t="shared" si="32"/>
        <v>46079</v>
      </c>
      <c r="B336" s="123">
        <f>YEAR(Table13[[#This Row],[Date]])+IF(MONTH(Table13[[#This Row],[Date]])&gt;=4,1,0)</f>
        <v>2026</v>
      </c>
      <c r="C336" s="121">
        <f>YEAR(Table13[[#This Row],[Date]])</f>
        <v>2026</v>
      </c>
      <c r="D336" s="135">
        <f>Table13[[#This Row],[Date]]-DAY(Table13[[#This Row],[Date]])+1</f>
        <v>46054</v>
      </c>
      <c r="E336" s="121">
        <f t="shared" si="33"/>
        <v>28</v>
      </c>
      <c r="F336" s="124"/>
      <c r="G336" s="125"/>
      <c r="H336" s="125"/>
      <c r="I336" s="125"/>
      <c r="J336" s="125"/>
      <c r="K336" s="136"/>
      <c r="L336" s="125"/>
      <c r="M336" s="125" t="str">
        <f>IFERROR(_xlfn.XLOOKUP($A336,Input_Raw!$A:$A,Input_Raw!CG:CG),"")</f>
        <v/>
      </c>
      <c r="N336" s="125" t="str">
        <f>IFERROR(_xlfn.XLOOKUP($A336,Input_Raw!$A:$A,Input_Raw!CH:CH),"")</f>
        <v/>
      </c>
      <c r="O336" s="137" t="str">
        <f t="shared" si="34"/>
        <v/>
      </c>
      <c r="P336" s="137" t="str">
        <f>IFERROR(1-SUMIF(WTG_BD!$F:$F,$A336,WTG_BD!$AA:$AA)/($AA336+SUMIF(WTG_BD!$F:$F,$A336,WTG_BD!$AA:$AA)),"")</f>
        <v/>
      </c>
      <c r="Q336" s="138" t="str">
        <f>IFERROR(1-SUMIF(IGA_BD!$F:$F,$A336,IGA_BD!$V:$V)/($AA336+SUMIF(IGA_BD!$F:$F,$A336,IGA_BD!$V:$V)),"")</f>
        <v/>
      </c>
      <c r="R336" s="143" t="str">
        <f>IFERROR(1-SUMIF(Grid_BD!$F:$F,$A336,Grid_BD!$X:$X)/($AA336+SUMIF(Grid_BD!$F:$F,$A336,Grid_BD!$X:$X)),"")</f>
        <v/>
      </c>
      <c r="S336" s="121"/>
      <c r="T336" s="138"/>
      <c r="U336" s="139"/>
      <c r="V336" s="121"/>
      <c r="W336" s="140" t="str">
        <f>IFERROR(Table13[[#This Row],[Mtr_Net_Exp (KWh)]]/(24*AR336*1000),"")</f>
        <v/>
      </c>
      <c r="X336" s="121" t="str">
        <f>IFERROR(_xlfn.XLOOKUP($A336,Input_Raw!$A:$A,Input_Raw!$CF:$CF),"")</f>
        <v/>
      </c>
      <c r="Y336" s="121" t="str">
        <f>IFERROR(_xlfn.XLOOKUP($A336,Input_Raw!$A:$A,Input_Raw!$CZ:$CZ),"")</f>
        <v/>
      </c>
      <c r="Z336" s="121" t="str">
        <f>IFERROR(_xlfn.XLOOKUP($A336,Input_Raw!$A:$A,Input_Raw!$DA:$DA),"")</f>
        <v/>
      </c>
      <c r="AA336" s="123" t="str">
        <f t="shared" si="35"/>
        <v/>
      </c>
      <c r="AB336" s="121" t="str">
        <f>IFERROR(_xlfn.XLOOKUP($A336,Input_Raw!$A:$A,Input_Raw!$DG:$DG),"")</f>
        <v/>
      </c>
      <c r="AC336" s="141">
        <f>IFERROR(_xlfn.XLOOKUP($D336,'Modelling New'!$D:$D,'Modelling New'!$J:$J),"")</f>
        <v>4.3</v>
      </c>
      <c r="AD336" s="123">
        <f>IFERROR(_xlfn.XLOOKUP($D336,'Modelling New'!$D:$D,'Modelling New'!$T:$T)*1000,"")</f>
        <v>171913.60080596086</v>
      </c>
      <c r="AE336" s="140"/>
      <c r="AF336" s="140">
        <f>IFERROR(_xlfn.XLOOKUP($D336,'Modelling New'!$D:$D,'Modelling New'!$W:$W),"")</f>
        <v>9.1834188464722688E-2</v>
      </c>
      <c r="AG336" s="140">
        <f>IFERROR(_xlfn.XLOOKUP($D336,'Modelling New'!$D:$D,'Modelling New'!$AE:$AE),"")</f>
        <v>0.96029999999999993</v>
      </c>
      <c r="AH336" s="140">
        <f>IFERROR(_xlfn.XLOOKUP($D336,'Modelling New'!$D:$D,'Modelling New'!$AF:$AF),"")</f>
        <v>0.995</v>
      </c>
      <c r="AI336" s="121" t="str">
        <f>IFERROR(_xlfn.XLOOKUP($A336,Input_Raw!$A:$A,Input_Raw!$DE:$DE),"")</f>
        <v/>
      </c>
      <c r="AJ336" s="121"/>
      <c r="AK336" s="121"/>
      <c r="AL336" s="121"/>
      <c r="AM336" s="121"/>
      <c r="AN336" s="142" t="str">
        <f>IFERROR(_xlfn.XLOOKUP($A336,Input_Raw!$A:$A,Input_Raw!$DB:$DB),"")</f>
        <v/>
      </c>
      <c r="AO336" s="140" t="str">
        <f>IFERROR((_xlfn.XLOOKUP($A336,'WTG Reactive Power'!$A:$A,'WTG Reactive Power'!$AR:$AR))/X336/1000,"")</f>
        <v/>
      </c>
      <c r="AP336" s="140">
        <f>IFERROR(_xlfn.XLOOKUP($D336,'Modelling New'!$D:$D,'Modelling New'!$AK:$AK),"")</f>
        <v>0.05</v>
      </c>
      <c r="AQ336" s="140">
        <f>IFERROR(_xlfn.XLOOKUP($D336,'Modelling New'!$D:$D,'Modelling New'!$AL:$AL),"")</f>
        <v>0.05</v>
      </c>
      <c r="AR336">
        <f>IFERROR(_xlfn.XLOOKUP($D336,'Modelling New'!$D:$D,'Modelling New'!$N:$N),"")</f>
        <v>78</v>
      </c>
    </row>
    <row r="337" spans="1:44">
      <c r="A337" s="134">
        <f t="shared" si="32"/>
        <v>46080</v>
      </c>
      <c r="B337" s="123">
        <f>YEAR(Table13[[#This Row],[Date]])+IF(MONTH(Table13[[#This Row],[Date]])&gt;=4,1,0)</f>
        <v>2026</v>
      </c>
      <c r="C337" s="121">
        <f>YEAR(Table13[[#This Row],[Date]])</f>
        <v>2026</v>
      </c>
      <c r="D337" s="135">
        <f>Table13[[#This Row],[Date]]-DAY(Table13[[#This Row],[Date]])+1</f>
        <v>46054</v>
      </c>
      <c r="E337" s="121">
        <f t="shared" si="33"/>
        <v>28</v>
      </c>
      <c r="F337" s="124"/>
      <c r="G337" s="125"/>
      <c r="H337" s="125"/>
      <c r="I337" s="125"/>
      <c r="J337" s="125"/>
      <c r="K337" s="136"/>
      <c r="L337" s="125"/>
      <c r="M337" s="125" t="str">
        <f>IFERROR(_xlfn.XLOOKUP($A337,Input_Raw!$A:$A,Input_Raw!CG:CG),"")</f>
        <v/>
      </c>
      <c r="N337" s="125" t="str">
        <f>IFERROR(_xlfn.XLOOKUP($A337,Input_Raw!$A:$A,Input_Raw!CH:CH),"")</f>
        <v/>
      </c>
      <c r="O337" s="137" t="str">
        <f t="shared" si="34"/>
        <v/>
      </c>
      <c r="P337" s="137" t="str">
        <f>IFERROR(1-SUMIF(WTG_BD!$F:$F,$A337,WTG_BD!$AA:$AA)/($AA337+SUMIF(WTG_BD!$F:$F,$A337,WTG_BD!$AA:$AA)),"")</f>
        <v/>
      </c>
      <c r="Q337" s="138" t="str">
        <f>IFERROR(1-SUMIF(IGA_BD!$F:$F,$A337,IGA_BD!$V:$V)/($AA337+SUMIF(IGA_BD!$F:$F,$A337,IGA_BD!$V:$V)),"")</f>
        <v/>
      </c>
      <c r="R337" s="143" t="str">
        <f>IFERROR(1-SUMIF(Grid_BD!$F:$F,$A337,Grid_BD!$X:$X)/($AA337+SUMIF(Grid_BD!$F:$F,$A337,Grid_BD!$X:$X)),"")</f>
        <v/>
      </c>
      <c r="S337" s="121"/>
      <c r="T337" s="138"/>
      <c r="U337" s="139"/>
      <c r="V337" s="121"/>
      <c r="W337" s="140" t="str">
        <f>IFERROR(Table13[[#This Row],[Mtr_Net_Exp (KWh)]]/(24*AR337*1000),"")</f>
        <v/>
      </c>
      <c r="X337" s="121" t="str">
        <f>IFERROR(_xlfn.XLOOKUP($A337,Input_Raw!$A:$A,Input_Raw!$CF:$CF),"")</f>
        <v/>
      </c>
      <c r="Y337" s="121" t="str">
        <f>IFERROR(_xlfn.XLOOKUP($A337,Input_Raw!$A:$A,Input_Raw!$CZ:$CZ),"")</f>
        <v/>
      </c>
      <c r="Z337" s="121" t="str">
        <f>IFERROR(_xlfn.XLOOKUP($A337,Input_Raw!$A:$A,Input_Raw!$DA:$DA),"")</f>
        <v/>
      </c>
      <c r="AA337" s="123" t="str">
        <f t="shared" si="35"/>
        <v/>
      </c>
      <c r="AB337" s="121" t="str">
        <f>IFERROR(_xlfn.XLOOKUP($A337,Input_Raw!$A:$A,Input_Raw!$DG:$DG),"")</f>
        <v/>
      </c>
      <c r="AC337" s="141">
        <f>IFERROR(_xlfn.XLOOKUP($D337,'Modelling New'!$D:$D,'Modelling New'!$J:$J),"")</f>
        <v>4.3</v>
      </c>
      <c r="AD337" s="123">
        <f>IFERROR(_xlfn.XLOOKUP($D337,'Modelling New'!$D:$D,'Modelling New'!$T:$T)*1000,"")</f>
        <v>171913.60080596086</v>
      </c>
      <c r="AE337" s="140"/>
      <c r="AF337" s="140">
        <f>IFERROR(_xlfn.XLOOKUP($D337,'Modelling New'!$D:$D,'Modelling New'!$W:$W),"")</f>
        <v>9.1834188464722688E-2</v>
      </c>
      <c r="AG337" s="140">
        <f>IFERROR(_xlfn.XLOOKUP($D337,'Modelling New'!$D:$D,'Modelling New'!$AE:$AE),"")</f>
        <v>0.96029999999999993</v>
      </c>
      <c r="AH337" s="140">
        <f>IFERROR(_xlfn.XLOOKUP($D337,'Modelling New'!$D:$D,'Modelling New'!$AF:$AF),"")</f>
        <v>0.995</v>
      </c>
      <c r="AI337" s="121" t="str">
        <f>IFERROR(_xlfn.XLOOKUP($A337,Input_Raw!$A:$A,Input_Raw!$DE:$DE),"")</f>
        <v/>
      </c>
      <c r="AJ337" s="121"/>
      <c r="AK337" s="121"/>
      <c r="AL337" s="121"/>
      <c r="AM337" s="121"/>
      <c r="AN337" s="142" t="str">
        <f>IFERROR(_xlfn.XLOOKUP($A337,Input_Raw!$A:$A,Input_Raw!$DB:$DB),"")</f>
        <v/>
      </c>
      <c r="AO337" s="140" t="str">
        <f>IFERROR((_xlfn.XLOOKUP($A337,'WTG Reactive Power'!$A:$A,'WTG Reactive Power'!$AR:$AR))/X337/1000,"")</f>
        <v/>
      </c>
      <c r="AP337" s="140">
        <f>IFERROR(_xlfn.XLOOKUP($D337,'Modelling New'!$D:$D,'Modelling New'!$AK:$AK),"")</f>
        <v>0.05</v>
      </c>
      <c r="AQ337" s="140">
        <f>IFERROR(_xlfn.XLOOKUP($D337,'Modelling New'!$D:$D,'Modelling New'!$AL:$AL),"")</f>
        <v>0.05</v>
      </c>
      <c r="AR337">
        <f>IFERROR(_xlfn.XLOOKUP($D337,'Modelling New'!$D:$D,'Modelling New'!$N:$N),"")</f>
        <v>78</v>
      </c>
    </row>
    <row r="338" spans="1:44">
      <c r="A338" s="134">
        <f t="shared" si="32"/>
        <v>46081</v>
      </c>
      <c r="B338" s="123">
        <f>YEAR(Table13[[#This Row],[Date]])+IF(MONTH(Table13[[#This Row],[Date]])&gt;=4,1,0)</f>
        <v>2026</v>
      </c>
      <c r="C338" s="121">
        <f>YEAR(Table13[[#This Row],[Date]])</f>
        <v>2026</v>
      </c>
      <c r="D338" s="135">
        <f>Table13[[#This Row],[Date]]-DAY(Table13[[#This Row],[Date]])+1</f>
        <v>46054</v>
      </c>
      <c r="E338" s="121">
        <f t="shared" si="33"/>
        <v>28</v>
      </c>
      <c r="F338" s="124"/>
      <c r="G338" s="125"/>
      <c r="H338" s="125"/>
      <c r="I338" s="125"/>
      <c r="J338" s="125"/>
      <c r="K338" s="136"/>
      <c r="L338" s="125"/>
      <c r="M338" s="125" t="str">
        <f>IFERROR(_xlfn.XLOOKUP($A338,Input_Raw!$A:$A,Input_Raw!CG:CG),"")</f>
        <v/>
      </c>
      <c r="N338" s="125" t="str">
        <f>IFERROR(_xlfn.XLOOKUP($A338,Input_Raw!$A:$A,Input_Raw!CH:CH),"")</f>
        <v/>
      </c>
      <c r="O338" s="137" t="str">
        <f t="shared" si="34"/>
        <v/>
      </c>
      <c r="P338" s="137" t="str">
        <f>IFERROR(1-SUMIF(WTG_BD!$F:$F,$A338,WTG_BD!$AA:$AA)/($AA338+SUMIF(WTG_BD!$F:$F,$A338,WTG_BD!$AA:$AA)),"")</f>
        <v/>
      </c>
      <c r="Q338" s="138" t="str">
        <f>IFERROR(1-SUMIF(IGA_BD!$F:$F,$A338,IGA_BD!$V:$V)/($AA338+SUMIF(IGA_BD!$F:$F,$A338,IGA_BD!$V:$V)),"")</f>
        <v/>
      </c>
      <c r="R338" s="143" t="str">
        <f>IFERROR(1-SUMIF(Grid_BD!$F:$F,$A338,Grid_BD!$X:$X)/($AA338+SUMIF(Grid_BD!$F:$F,$A338,Grid_BD!$X:$X)),"")</f>
        <v/>
      </c>
      <c r="S338" s="121"/>
      <c r="T338" s="138"/>
      <c r="U338" s="139"/>
      <c r="V338" s="121"/>
      <c r="W338" s="140" t="str">
        <f>IFERROR(Table13[[#This Row],[Mtr_Net_Exp (KWh)]]/(24*AR338*1000),"")</f>
        <v/>
      </c>
      <c r="X338" s="121" t="str">
        <f>IFERROR(_xlfn.XLOOKUP($A338,Input_Raw!$A:$A,Input_Raw!$CF:$CF),"")</f>
        <v/>
      </c>
      <c r="Y338" s="121" t="str">
        <f>IFERROR(_xlfn.XLOOKUP($A338,Input_Raw!$A:$A,Input_Raw!$CZ:$CZ),"")</f>
        <v/>
      </c>
      <c r="Z338" s="121" t="str">
        <f>IFERROR(_xlfn.XLOOKUP($A338,Input_Raw!$A:$A,Input_Raw!$DA:$DA),"")</f>
        <v/>
      </c>
      <c r="AA338" s="123" t="str">
        <f t="shared" si="35"/>
        <v/>
      </c>
      <c r="AB338" s="121" t="str">
        <f>IFERROR(_xlfn.XLOOKUP($A338,Input_Raw!$A:$A,Input_Raw!$DG:$DG),"")</f>
        <v/>
      </c>
      <c r="AC338" s="141">
        <f>IFERROR(_xlfn.XLOOKUP($D338,'Modelling New'!$D:$D,'Modelling New'!$J:$J),"")</f>
        <v>4.3</v>
      </c>
      <c r="AD338" s="123">
        <f>IFERROR(_xlfn.XLOOKUP($D338,'Modelling New'!$D:$D,'Modelling New'!$T:$T)*1000,"")</f>
        <v>171913.60080596086</v>
      </c>
      <c r="AE338" s="140"/>
      <c r="AF338" s="140">
        <f>IFERROR(_xlfn.XLOOKUP($D338,'Modelling New'!$D:$D,'Modelling New'!$W:$W),"")</f>
        <v>9.1834188464722688E-2</v>
      </c>
      <c r="AG338" s="140">
        <f>IFERROR(_xlfn.XLOOKUP($D338,'Modelling New'!$D:$D,'Modelling New'!$AE:$AE),"")</f>
        <v>0.96029999999999993</v>
      </c>
      <c r="AH338" s="140">
        <f>IFERROR(_xlfn.XLOOKUP($D338,'Modelling New'!$D:$D,'Modelling New'!$AF:$AF),"")</f>
        <v>0.995</v>
      </c>
      <c r="AI338" s="121" t="str">
        <f>IFERROR(_xlfn.XLOOKUP($A338,Input_Raw!$A:$A,Input_Raw!$DE:$DE),"")</f>
        <v/>
      </c>
      <c r="AJ338" s="121"/>
      <c r="AK338" s="121"/>
      <c r="AL338" s="121"/>
      <c r="AM338" s="121"/>
      <c r="AN338" s="142" t="str">
        <f>IFERROR(_xlfn.XLOOKUP($A338,Input_Raw!$A:$A,Input_Raw!$DB:$DB),"")</f>
        <v/>
      </c>
      <c r="AO338" s="140" t="str">
        <f>IFERROR((_xlfn.XLOOKUP($A338,'WTG Reactive Power'!$A:$A,'WTG Reactive Power'!$AR:$AR))/X338/1000,"")</f>
        <v/>
      </c>
      <c r="AP338" s="140">
        <f>IFERROR(_xlfn.XLOOKUP($D338,'Modelling New'!$D:$D,'Modelling New'!$AK:$AK),"")</f>
        <v>0.05</v>
      </c>
      <c r="AQ338" s="140">
        <f>IFERROR(_xlfn.XLOOKUP($D338,'Modelling New'!$D:$D,'Modelling New'!$AL:$AL),"")</f>
        <v>0.05</v>
      </c>
      <c r="AR338">
        <f>IFERROR(_xlfn.XLOOKUP($D338,'Modelling New'!$D:$D,'Modelling New'!$N:$N),"")</f>
        <v>78</v>
      </c>
    </row>
    <row r="339" spans="1:44">
      <c r="A339" s="134">
        <f t="shared" si="32"/>
        <v>46082</v>
      </c>
      <c r="B339" s="123">
        <f>YEAR(Table13[[#This Row],[Date]])+IF(MONTH(Table13[[#This Row],[Date]])&gt;=4,1,0)</f>
        <v>2026</v>
      </c>
      <c r="C339" s="121">
        <f>YEAR(Table13[[#This Row],[Date]])</f>
        <v>2026</v>
      </c>
      <c r="D339" s="135">
        <f>Table13[[#This Row],[Date]]-DAY(Table13[[#This Row],[Date]])+1</f>
        <v>46082</v>
      </c>
      <c r="E339" s="121">
        <f t="shared" si="33"/>
        <v>31</v>
      </c>
      <c r="F339" s="124"/>
      <c r="G339" s="125"/>
      <c r="H339" s="125"/>
      <c r="I339" s="125"/>
      <c r="J339" s="125"/>
      <c r="K339" s="136"/>
      <c r="L339" s="125"/>
      <c r="M339" s="125" t="str">
        <f>IFERROR(_xlfn.XLOOKUP($A339,Input_Raw!$A:$A,Input_Raw!CG:CG),"")</f>
        <v/>
      </c>
      <c r="N339" s="125" t="str">
        <f>IFERROR(_xlfn.XLOOKUP($A339,Input_Raw!$A:$A,Input_Raw!CH:CH),"")</f>
        <v/>
      </c>
      <c r="O339" s="137" t="str">
        <f t="shared" si="34"/>
        <v/>
      </c>
      <c r="P339" s="137" t="str">
        <f>IFERROR(1-SUMIF(WTG_BD!$F:$F,$A339,WTG_BD!$AA:$AA)/($AA339+SUMIF(WTG_BD!$F:$F,$A339,WTG_BD!$AA:$AA)),"")</f>
        <v/>
      </c>
      <c r="Q339" s="138" t="str">
        <f>IFERROR(1-SUMIF(IGA_BD!$F:$F,$A339,IGA_BD!$V:$V)/($AA339+SUMIF(IGA_BD!$F:$F,$A339,IGA_BD!$V:$V)),"")</f>
        <v/>
      </c>
      <c r="R339" s="143" t="str">
        <f>IFERROR(1-SUMIF(Grid_BD!$F:$F,$A339,Grid_BD!$X:$X)/($AA339+SUMIF(Grid_BD!$F:$F,$A339,Grid_BD!$X:$X)),"")</f>
        <v/>
      </c>
      <c r="S339" s="121"/>
      <c r="T339" s="138"/>
      <c r="U339" s="139"/>
      <c r="V339" s="121"/>
      <c r="W339" s="140" t="str">
        <f>IFERROR(Table13[[#This Row],[Mtr_Net_Exp (KWh)]]/(24*AR339*1000),"")</f>
        <v/>
      </c>
      <c r="X339" s="121" t="str">
        <f>IFERROR(_xlfn.XLOOKUP($A339,Input_Raw!$A:$A,Input_Raw!$CF:$CF),"")</f>
        <v/>
      </c>
      <c r="Y339" s="121" t="str">
        <f>IFERROR(_xlfn.XLOOKUP($A339,Input_Raw!$A:$A,Input_Raw!$CZ:$CZ),"")</f>
        <v/>
      </c>
      <c r="Z339" s="121" t="str">
        <f>IFERROR(_xlfn.XLOOKUP($A339,Input_Raw!$A:$A,Input_Raw!$DA:$DA),"")</f>
        <v/>
      </c>
      <c r="AA339" s="123" t="str">
        <f t="shared" si="35"/>
        <v/>
      </c>
      <c r="AB339" s="121" t="str">
        <f>IFERROR(_xlfn.XLOOKUP($A339,Input_Raw!$A:$A,Input_Raw!$DG:$DG),"")</f>
        <v/>
      </c>
      <c r="AC339" s="141">
        <f>IFERROR(_xlfn.XLOOKUP($D339,'Modelling New'!$D:$D,'Modelling New'!$J:$J),"")</f>
        <v>4.5999999999999996</v>
      </c>
      <c r="AD339" s="123">
        <f>IFERROR(_xlfn.XLOOKUP($D339,'Modelling New'!$D:$D,'Modelling New'!$T:$T)*1000,"")</f>
        <v>221156.23146397382</v>
      </c>
      <c r="AE339" s="140"/>
      <c r="AF339" s="140">
        <f>IFERROR(_xlfn.XLOOKUP($D339,'Modelling New'!$D:$D,'Modelling New'!$W:$W),"")</f>
        <v>0.11813901253417405</v>
      </c>
      <c r="AG339" s="140">
        <f>IFERROR(_xlfn.XLOOKUP($D339,'Modelling New'!$D:$D,'Modelling New'!$AE:$AE),"")</f>
        <v>0.96029999999999993</v>
      </c>
      <c r="AH339" s="140">
        <f>IFERROR(_xlfn.XLOOKUP($D339,'Modelling New'!$D:$D,'Modelling New'!$AF:$AF),"")</f>
        <v>0.995</v>
      </c>
      <c r="AI339" s="121" t="str">
        <f>IFERROR(_xlfn.XLOOKUP($A339,Input_Raw!$A:$A,Input_Raw!$DE:$DE),"")</f>
        <v/>
      </c>
      <c r="AJ339" s="121"/>
      <c r="AK339" s="121"/>
      <c r="AL339" s="121"/>
      <c r="AM339" s="121"/>
      <c r="AN339" s="142" t="str">
        <f>IFERROR(_xlfn.XLOOKUP($A339,Input_Raw!$A:$A,Input_Raw!$DB:$DB),"")</f>
        <v/>
      </c>
      <c r="AO339" s="140" t="str">
        <f>IFERROR((_xlfn.XLOOKUP($A339,'WTG Reactive Power'!$A:$A,'WTG Reactive Power'!$AR:$AR))/X339/1000,"")</f>
        <v/>
      </c>
      <c r="AP339" s="140">
        <f>IFERROR(_xlfn.XLOOKUP($D339,'Modelling New'!$D:$D,'Modelling New'!$AK:$AK),"")</f>
        <v>0.05</v>
      </c>
      <c r="AQ339" s="140">
        <f>IFERROR(_xlfn.XLOOKUP($D339,'Modelling New'!$D:$D,'Modelling New'!$AL:$AL),"")</f>
        <v>0.05</v>
      </c>
      <c r="AR339">
        <f>IFERROR(_xlfn.XLOOKUP($D339,'Modelling New'!$D:$D,'Modelling New'!$N:$N),"")</f>
        <v>78</v>
      </c>
    </row>
    <row r="340" spans="1:44">
      <c r="A340" s="134">
        <f t="shared" si="32"/>
        <v>46083</v>
      </c>
      <c r="B340" s="123">
        <f>YEAR(Table13[[#This Row],[Date]])+IF(MONTH(Table13[[#This Row],[Date]])&gt;=4,1,0)</f>
        <v>2026</v>
      </c>
      <c r="C340" s="121">
        <f>YEAR(Table13[[#This Row],[Date]])</f>
        <v>2026</v>
      </c>
      <c r="D340" s="135">
        <f>Table13[[#This Row],[Date]]-DAY(Table13[[#This Row],[Date]])+1</f>
        <v>46082</v>
      </c>
      <c r="E340" s="121">
        <f t="shared" si="33"/>
        <v>31</v>
      </c>
      <c r="F340" s="124"/>
      <c r="G340" s="125"/>
      <c r="H340" s="125"/>
      <c r="I340" s="125"/>
      <c r="J340" s="125"/>
      <c r="K340" s="136"/>
      <c r="L340" s="125"/>
      <c r="M340" s="125" t="str">
        <f>IFERROR(_xlfn.XLOOKUP($A340,Input_Raw!$A:$A,Input_Raw!CG:CG),"")</f>
        <v/>
      </c>
      <c r="N340" s="125" t="str">
        <f>IFERROR(_xlfn.XLOOKUP($A340,Input_Raw!$A:$A,Input_Raw!CH:CH),"")</f>
        <v/>
      </c>
      <c r="O340" s="137" t="str">
        <f t="shared" si="34"/>
        <v/>
      </c>
      <c r="P340" s="137" t="str">
        <f>IFERROR(1-SUMIF(WTG_BD!$F:$F,$A340,WTG_BD!$AA:$AA)/($AA340+SUMIF(WTG_BD!$F:$F,$A340,WTG_BD!$AA:$AA)),"")</f>
        <v/>
      </c>
      <c r="Q340" s="138" t="str">
        <f>IFERROR(1-SUMIF(IGA_BD!$F:$F,$A340,IGA_BD!$V:$V)/($AA340+SUMIF(IGA_BD!$F:$F,$A340,IGA_BD!$V:$V)),"")</f>
        <v/>
      </c>
      <c r="R340" s="143" t="str">
        <f>IFERROR(1-SUMIF(Grid_BD!$F:$F,$A340,Grid_BD!$X:$X)/($AA340+SUMIF(Grid_BD!$F:$F,$A340,Grid_BD!$X:$X)),"")</f>
        <v/>
      </c>
      <c r="S340" s="121"/>
      <c r="T340" s="138"/>
      <c r="U340" s="139"/>
      <c r="V340" s="121"/>
      <c r="W340" s="140" t="str">
        <f>IFERROR(Table13[[#This Row],[Mtr_Net_Exp (KWh)]]/(24*AR340*1000),"")</f>
        <v/>
      </c>
      <c r="X340" s="121" t="str">
        <f>IFERROR(_xlfn.XLOOKUP($A340,Input_Raw!$A:$A,Input_Raw!$CF:$CF),"")</f>
        <v/>
      </c>
      <c r="Y340" s="121" t="str">
        <f>IFERROR(_xlfn.XLOOKUP($A340,Input_Raw!$A:$A,Input_Raw!$CZ:$CZ),"")</f>
        <v/>
      </c>
      <c r="Z340" s="121" t="str">
        <f>IFERROR(_xlfn.XLOOKUP($A340,Input_Raw!$A:$A,Input_Raw!$DA:$DA),"")</f>
        <v/>
      </c>
      <c r="AA340" s="123" t="str">
        <f t="shared" si="35"/>
        <v/>
      </c>
      <c r="AB340" s="121" t="str">
        <f>IFERROR(_xlfn.XLOOKUP($A340,Input_Raw!$A:$A,Input_Raw!$DG:$DG),"")</f>
        <v/>
      </c>
      <c r="AC340" s="141">
        <f>IFERROR(_xlfn.XLOOKUP($D340,'Modelling New'!$D:$D,'Modelling New'!$J:$J),"")</f>
        <v>4.5999999999999996</v>
      </c>
      <c r="AD340" s="123">
        <f>IFERROR(_xlfn.XLOOKUP($D340,'Modelling New'!$D:$D,'Modelling New'!$T:$T)*1000,"")</f>
        <v>221156.23146397382</v>
      </c>
      <c r="AE340" s="140"/>
      <c r="AF340" s="140">
        <f>IFERROR(_xlfn.XLOOKUP($D340,'Modelling New'!$D:$D,'Modelling New'!$W:$W),"")</f>
        <v>0.11813901253417405</v>
      </c>
      <c r="AG340" s="140">
        <f>IFERROR(_xlfn.XLOOKUP($D340,'Modelling New'!$D:$D,'Modelling New'!$AE:$AE),"")</f>
        <v>0.96029999999999993</v>
      </c>
      <c r="AH340" s="140">
        <f>IFERROR(_xlfn.XLOOKUP($D340,'Modelling New'!$D:$D,'Modelling New'!$AF:$AF),"")</f>
        <v>0.995</v>
      </c>
      <c r="AI340" s="121" t="str">
        <f>IFERROR(_xlfn.XLOOKUP($A340,Input_Raw!$A:$A,Input_Raw!$DE:$DE),"")</f>
        <v/>
      </c>
      <c r="AJ340" s="121"/>
      <c r="AK340" s="121"/>
      <c r="AL340" s="121"/>
      <c r="AM340" s="121"/>
      <c r="AN340" s="142" t="str">
        <f>IFERROR(_xlfn.XLOOKUP($A340,Input_Raw!$A:$A,Input_Raw!$DB:$DB),"")</f>
        <v/>
      </c>
      <c r="AO340" s="140" t="str">
        <f>IFERROR((_xlfn.XLOOKUP($A340,'WTG Reactive Power'!$A:$A,'WTG Reactive Power'!$AR:$AR))/X340/1000,"")</f>
        <v/>
      </c>
      <c r="AP340" s="140">
        <f>IFERROR(_xlfn.XLOOKUP($D340,'Modelling New'!$D:$D,'Modelling New'!$AK:$AK),"")</f>
        <v>0.05</v>
      </c>
      <c r="AQ340" s="140">
        <f>IFERROR(_xlfn.XLOOKUP($D340,'Modelling New'!$D:$D,'Modelling New'!$AL:$AL),"")</f>
        <v>0.05</v>
      </c>
      <c r="AR340">
        <f>IFERROR(_xlfn.XLOOKUP($D340,'Modelling New'!$D:$D,'Modelling New'!$N:$N),"")</f>
        <v>78</v>
      </c>
    </row>
    <row r="341" spans="1:44">
      <c r="A341" s="134">
        <f t="shared" si="32"/>
        <v>46084</v>
      </c>
      <c r="B341" s="123">
        <f>YEAR(Table13[[#This Row],[Date]])+IF(MONTH(Table13[[#This Row],[Date]])&gt;=4,1,0)</f>
        <v>2026</v>
      </c>
      <c r="C341" s="121">
        <f>YEAR(Table13[[#This Row],[Date]])</f>
        <v>2026</v>
      </c>
      <c r="D341" s="135">
        <f>Table13[[#This Row],[Date]]-DAY(Table13[[#This Row],[Date]])+1</f>
        <v>46082</v>
      </c>
      <c r="E341" s="121">
        <f t="shared" si="33"/>
        <v>31</v>
      </c>
      <c r="F341" s="124"/>
      <c r="G341" s="125"/>
      <c r="H341" s="125"/>
      <c r="I341" s="125"/>
      <c r="J341" s="125"/>
      <c r="K341" s="136"/>
      <c r="L341" s="125"/>
      <c r="M341" s="125" t="str">
        <f>IFERROR(_xlfn.XLOOKUP($A341,Input_Raw!$A:$A,Input_Raw!CG:CG),"")</f>
        <v/>
      </c>
      <c r="N341" s="125" t="str">
        <f>IFERROR(_xlfn.XLOOKUP($A341,Input_Raw!$A:$A,Input_Raw!CH:CH),"")</f>
        <v/>
      </c>
      <c r="O341" s="137" t="str">
        <f t="shared" si="34"/>
        <v/>
      </c>
      <c r="P341" s="137" t="str">
        <f>IFERROR(1-SUMIF(WTG_BD!$F:$F,$A341,WTG_BD!$AA:$AA)/($AA341+SUMIF(WTG_BD!$F:$F,$A341,WTG_BD!$AA:$AA)),"")</f>
        <v/>
      </c>
      <c r="Q341" s="138" t="str">
        <f>IFERROR(1-SUMIF(IGA_BD!$F:$F,$A341,IGA_BD!$V:$V)/($AA341+SUMIF(IGA_BD!$F:$F,$A341,IGA_BD!$V:$V)),"")</f>
        <v/>
      </c>
      <c r="R341" s="143" t="str">
        <f>IFERROR(1-SUMIF(Grid_BD!$F:$F,$A341,Grid_BD!$X:$X)/($AA341+SUMIF(Grid_BD!$F:$F,$A341,Grid_BD!$X:$X)),"")</f>
        <v/>
      </c>
      <c r="S341" s="121"/>
      <c r="T341" s="138"/>
      <c r="U341" s="139"/>
      <c r="V341" s="121"/>
      <c r="W341" s="140" t="str">
        <f>IFERROR(Table13[[#This Row],[Mtr_Net_Exp (KWh)]]/(24*AR341*1000),"")</f>
        <v/>
      </c>
      <c r="X341" s="121" t="str">
        <f>IFERROR(_xlfn.XLOOKUP($A341,Input_Raw!$A:$A,Input_Raw!$CF:$CF),"")</f>
        <v/>
      </c>
      <c r="Y341" s="121" t="str">
        <f>IFERROR(_xlfn.XLOOKUP($A341,Input_Raw!$A:$A,Input_Raw!$CZ:$CZ),"")</f>
        <v/>
      </c>
      <c r="Z341" s="121" t="str">
        <f>IFERROR(_xlfn.XLOOKUP($A341,Input_Raw!$A:$A,Input_Raw!$DA:$DA),"")</f>
        <v/>
      </c>
      <c r="AA341" s="123" t="str">
        <f t="shared" si="35"/>
        <v/>
      </c>
      <c r="AB341" s="121" t="str">
        <f>IFERROR(_xlfn.XLOOKUP($A341,Input_Raw!$A:$A,Input_Raw!$DG:$DG),"")</f>
        <v/>
      </c>
      <c r="AC341" s="141">
        <f>IFERROR(_xlfn.XLOOKUP($D341,'Modelling New'!$D:$D,'Modelling New'!$J:$J),"")</f>
        <v>4.5999999999999996</v>
      </c>
      <c r="AD341" s="123">
        <f>IFERROR(_xlfn.XLOOKUP($D341,'Modelling New'!$D:$D,'Modelling New'!$T:$T)*1000,"")</f>
        <v>221156.23146397382</v>
      </c>
      <c r="AE341" s="140"/>
      <c r="AF341" s="140">
        <f>IFERROR(_xlfn.XLOOKUP($D341,'Modelling New'!$D:$D,'Modelling New'!$W:$W),"")</f>
        <v>0.11813901253417405</v>
      </c>
      <c r="AG341" s="140">
        <f>IFERROR(_xlfn.XLOOKUP($D341,'Modelling New'!$D:$D,'Modelling New'!$AE:$AE),"")</f>
        <v>0.96029999999999993</v>
      </c>
      <c r="AH341" s="140">
        <f>IFERROR(_xlfn.XLOOKUP($D341,'Modelling New'!$D:$D,'Modelling New'!$AF:$AF),"")</f>
        <v>0.995</v>
      </c>
      <c r="AI341" s="121" t="str">
        <f>IFERROR(_xlfn.XLOOKUP($A341,Input_Raw!$A:$A,Input_Raw!$DE:$DE),"")</f>
        <v/>
      </c>
      <c r="AJ341" s="121"/>
      <c r="AK341" s="121"/>
      <c r="AL341" s="121"/>
      <c r="AM341" s="121"/>
      <c r="AN341" s="142" t="str">
        <f>IFERROR(_xlfn.XLOOKUP($A341,Input_Raw!$A:$A,Input_Raw!$DB:$DB),"")</f>
        <v/>
      </c>
      <c r="AO341" s="140" t="str">
        <f>IFERROR((_xlfn.XLOOKUP($A341,'WTG Reactive Power'!$A:$A,'WTG Reactive Power'!$AR:$AR))/X341/1000,"")</f>
        <v/>
      </c>
      <c r="AP341" s="140">
        <f>IFERROR(_xlfn.XLOOKUP($D341,'Modelling New'!$D:$D,'Modelling New'!$AK:$AK),"")</f>
        <v>0.05</v>
      </c>
      <c r="AQ341" s="140">
        <f>IFERROR(_xlfn.XLOOKUP($D341,'Modelling New'!$D:$D,'Modelling New'!$AL:$AL),"")</f>
        <v>0.05</v>
      </c>
      <c r="AR341">
        <f>IFERROR(_xlfn.XLOOKUP($D341,'Modelling New'!$D:$D,'Modelling New'!$N:$N),"")</f>
        <v>78</v>
      </c>
    </row>
    <row r="342" spans="1:44">
      <c r="A342" s="134">
        <f t="shared" si="32"/>
        <v>46085</v>
      </c>
      <c r="B342" s="123">
        <f>YEAR(Table13[[#This Row],[Date]])+IF(MONTH(Table13[[#This Row],[Date]])&gt;=4,1,0)</f>
        <v>2026</v>
      </c>
      <c r="C342" s="121">
        <f>YEAR(Table13[[#This Row],[Date]])</f>
        <v>2026</v>
      </c>
      <c r="D342" s="135">
        <f>Table13[[#This Row],[Date]]-DAY(Table13[[#This Row],[Date]])+1</f>
        <v>46082</v>
      </c>
      <c r="E342" s="121">
        <f t="shared" si="33"/>
        <v>31</v>
      </c>
      <c r="F342" s="124"/>
      <c r="G342" s="125"/>
      <c r="H342" s="125"/>
      <c r="I342" s="125"/>
      <c r="J342" s="125"/>
      <c r="K342" s="136"/>
      <c r="L342" s="125"/>
      <c r="M342" s="125" t="str">
        <f>IFERROR(_xlfn.XLOOKUP($A342,Input_Raw!$A:$A,Input_Raw!CG:CG),"")</f>
        <v/>
      </c>
      <c r="N342" s="125" t="str">
        <f>IFERROR(_xlfn.XLOOKUP($A342,Input_Raw!$A:$A,Input_Raw!CH:CH),"")</f>
        <v/>
      </c>
      <c r="O342" s="137" t="str">
        <f t="shared" si="34"/>
        <v/>
      </c>
      <c r="P342" s="137" t="str">
        <f>IFERROR(1-SUMIF(WTG_BD!$F:$F,$A342,WTG_BD!$AA:$AA)/($AA342+SUMIF(WTG_BD!$F:$F,$A342,WTG_BD!$AA:$AA)),"")</f>
        <v/>
      </c>
      <c r="Q342" s="138" t="str">
        <f>IFERROR(1-SUMIF(IGA_BD!$F:$F,$A342,IGA_BD!$V:$V)/($AA342+SUMIF(IGA_BD!$F:$F,$A342,IGA_BD!$V:$V)),"")</f>
        <v/>
      </c>
      <c r="R342" s="143" t="str">
        <f>IFERROR(1-SUMIF(Grid_BD!$F:$F,$A342,Grid_BD!$X:$X)/($AA342+SUMIF(Grid_BD!$F:$F,$A342,Grid_BD!$X:$X)),"")</f>
        <v/>
      </c>
      <c r="S342" s="121"/>
      <c r="T342" s="138"/>
      <c r="U342" s="139"/>
      <c r="V342" s="121"/>
      <c r="W342" s="140" t="str">
        <f>IFERROR(Table13[[#This Row],[Mtr_Net_Exp (KWh)]]/(24*AR342*1000),"")</f>
        <v/>
      </c>
      <c r="X342" s="121" t="str">
        <f>IFERROR(_xlfn.XLOOKUP($A342,Input_Raw!$A:$A,Input_Raw!$CF:$CF),"")</f>
        <v/>
      </c>
      <c r="Y342" s="121" t="str">
        <f>IFERROR(_xlfn.XLOOKUP($A342,Input_Raw!$A:$A,Input_Raw!$CZ:$CZ),"")</f>
        <v/>
      </c>
      <c r="Z342" s="121" t="str">
        <f>IFERROR(_xlfn.XLOOKUP($A342,Input_Raw!$A:$A,Input_Raw!$DA:$DA),"")</f>
        <v/>
      </c>
      <c r="AA342" s="123" t="str">
        <f t="shared" si="35"/>
        <v/>
      </c>
      <c r="AB342" s="121" t="str">
        <f>IFERROR(_xlfn.XLOOKUP($A342,Input_Raw!$A:$A,Input_Raw!$DG:$DG),"")</f>
        <v/>
      </c>
      <c r="AC342" s="141">
        <f>IFERROR(_xlfn.XLOOKUP($D342,'Modelling New'!$D:$D,'Modelling New'!$J:$J),"")</f>
        <v>4.5999999999999996</v>
      </c>
      <c r="AD342" s="123">
        <f>IFERROR(_xlfn.XLOOKUP($D342,'Modelling New'!$D:$D,'Modelling New'!$T:$T)*1000,"")</f>
        <v>221156.23146397382</v>
      </c>
      <c r="AE342" s="140"/>
      <c r="AF342" s="140">
        <f>IFERROR(_xlfn.XLOOKUP($D342,'Modelling New'!$D:$D,'Modelling New'!$W:$W),"")</f>
        <v>0.11813901253417405</v>
      </c>
      <c r="AG342" s="140">
        <f>IFERROR(_xlfn.XLOOKUP($D342,'Modelling New'!$D:$D,'Modelling New'!$AE:$AE),"")</f>
        <v>0.96029999999999993</v>
      </c>
      <c r="AH342" s="140">
        <f>IFERROR(_xlfn.XLOOKUP($D342,'Modelling New'!$D:$D,'Modelling New'!$AF:$AF),"")</f>
        <v>0.995</v>
      </c>
      <c r="AI342" s="121" t="str">
        <f>IFERROR(_xlfn.XLOOKUP($A342,Input_Raw!$A:$A,Input_Raw!$DE:$DE),"")</f>
        <v/>
      </c>
      <c r="AJ342" s="121"/>
      <c r="AK342" s="121"/>
      <c r="AL342" s="121"/>
      <c r="AM342" s="121"/>
      <c r="AN342" s="142" t="str">
        <f>IFERROR(_xlfn.XLOOKUP($A342,Input_Raw!$A:$A,Input_Raw!$DB:$DB),"")</f>
        <v/>
      </c>
      <c r="AO342" s="140" t="str">
        <f>IFERROR((_xlfn.XLOOKUP($A342,'WTG Reactive Power'!$A:$A,'WTG Reactive Power'!$AR:$AR))/X342/1000,"")</f>
        <v/>
      </c>
      <c r="AP342" s="140">
        <f>IFERROR(_xlfn.XLOOKUP($D342,'Modelling New'!$D:$D,'Modelling New'!$AK:$AK),"")</f>
        <v>0.05</v>
      </c>
      <c r="AQ342" s="140">
        <f>IFERROR(_xlfn.XLOOKUP($D342,'Modelling New'!$D:$D,'Modelling New'!$AL:$AL),"")</f>
        <v>0.05</v>
      </c>
      <c r="AR342">
        <f>IFERROR(_xlfn.XLOOKUP($D342,'Modelling New'!$D:$D,'Modelling New'!$N:$N),"")</f>
        <v>78</v>
      </c>
    </row>
    <row r="343" spans="1:44">
      <c r="A343" s="134">
        <f t="shared" si="32"/>
        <v>46086</v>
      </c>
      <c r="B343" s="123">
        <f>YEAR(Table13[[#This Row],[Date]])+IF(MONTH(Table13[[#This Row],[Date]])&gt;=4,1,0)</f>
        <v>2026</v>
      </c>
      <c r="C343" s="121">
        <f>YEAR(Table13[[#This Row],[Date]])</f>
        <v>2026</v>
      </c>
      <c r="D343" s="135">
        <f>Table13[[#This Row],[Date]]-DAY(Table13[[#This Row],[Date]])+1</f>
        <v>46082</v>
      </c>
      <c r="E343" s="121">
        <f t="shared" si="33"/>
        <v>31</v>
      </c>
      <c r="F343" s="124"/>
      <c r="G343" s="125"/>
      <c r="H343" s="125"/>
      <c r="I343" s="125"/>
      <c r="J343" s="125"/>
      <c r="K343" s="136"/>
      <c r="L343" s="125"/>
      <c r="M343" s="125" t="str">
        <f>IFERROR(_xlfn.XLOOKUP($A343,Input_Raw!$A:$A,Input_Raw!CG:CG),"")</f>
        <v/>
      </c>
      <c r="N343" s="125" t="str">
        <f>IFERROR(_xlfn.XLOOKUP($A343,Input_Raw!$A:$A,Input_Raw!CH:CH),"")</f>
        <v/>
      </c>
      <c r="O343" s="137" t="str">
        <f t="shared" si="34"/>
        <v/>
      </c>
      <c r="P343" s="137" t="str">
        <f>IFERROR(1-SUMIF(WTG_BD!$F:$F,$A343,WTG_BD!$AA:$AA)/($AA343+SUMIF(WTG_BD!$F:$F,$A343,WTG_BD!$AA:$AA)),"")</f>
        <v/>
      </c>
      <c r="Q343" s="138" t="str">
        <f>IFERROR(1-SUMIF(IGA_BD!$F:$F,$A343,IGA_BD!$V:$V)/($AA343+SUMIF(IGA_BD!$F:$F,$A343,IGA_BD!$V:$V)),"")</f>
        <v/>
      </c>
      <c r="R343" s="143" t="str">
        <f>IFERROR(1-SUMIF(Grid_BD!$F:$F,$A343,Grid_BD!$X:$X)/($AA343+SUMIF(Grid_BD!$F:$F,$A343,Grid_BD!$X:$X)),"")</f>
        <v/>
      </c>
      <c r="S343" s="121"/>
      <c r="T343" s="138"/>
      <c r="U343" s="139"/>
      <c r="V343" s="121"/>
      <c r="W343" s="140" t="str">
        <f>IFERROR(Table13[[#This Row],[Mtr_Net_Exp (KWh)]]/(24*AR343*1000),"")</f>
        <v/>
      </c>
      <c r="X343" s="121" t="str">
        <f>IFERROR(_xlfn.XLOOKUP($A343,Input_Raw!$A:$A,Input_Raw!$CF:$CF),"")</f>
        <v/>
      </c>
      <c r="Y343" s="121" t="str">
        <f>IFERROR(_xlfn.XLOOKUP($A343,Input_Raw!$A:$A,Input_Raw!$CZ:$CZ),"")</f>
        <v/>
      </c>
      <c r="Z343" s="121" t="str">
        <f>IFERROR(_xlfn.XLOOKUP($A343,Input_Raw!$A:$A,Input_Raw!$DA:$DA),"")</f>
        <v/>
      </c>
      <c r="AA343" s="123" t="str">
        <f t="shared" si="35"/>
        <v/>
      </c>
      <c r="AB343" s="121" t="str">
        <f>IFERROR(_xlfn.XLOOKUP($A343,Input_Raw!$A:$A,Input_Raw!$DG:$DG),"")</f>
        <v/>
      </c>
      <c r="AC343" s="141">
        <f>IFERROR(_xlfn.XLOOKUP($D343,'Modelling New'!$D:$D,'Modelling New'!$J:$J),"")</f>
        <v>4.5999999999999996</v>
      </c>
      <c r="AD343" s="123">
        <f>IFERROR(_xlfn.XLOOKUP($D343,'Modelling New'!$D:$D,'Modelling New'!$T:$T)*1000,"")</f>
        <v>221156.23146397382</v>
      </c>
      <c r="AE343" s="140"/>
      <c r="AF343" s="140">
        <f>IFERROR(_xlfn.XLOOKUP($D343,'Modelling New'!$D:$D,'Modelling New'!$W:$W),"")</f>
        <v>0.11813901253417405</v>
      </c>
      <c r="AG343" s="140">
        <f>IFERROR(_xlfn.XLOOKUP($D343,'Modelling New'!$D:$D,'Modelling New'!$AE:$AE),"")</f>
        <v>0.96029999999999993</v>
      </c>
      <c r="AH343" s="140">
        <f>IFERROR(_xlfn.XLOOKUP($D343,'Modelling New'!$D:$D,'Modelling New'!$AF:$AF),"")</f>
        <v>0.995</v>
      </c>
      <c r="AI343" s="121" t="str">
        <f>IFERROR(_xlfn.XLOOKUP($A343,Input_Raw!$A:$A,Input_Raw!$DE:$DE),"")</f>
        <v/>
      </c>
      <c r="AJ343" s="121"/>
      <c r="AK343" s="121"/>
      <c r="AL343" s="121"/>
      <c r="AM343" s="121"/>
      <c r="AN343" s="142" t="str">
        <f>IFERROR(_xlfn.XLOOKUP($A343,Input_Raw!$A:$A,Input_Raw!$DB:$DB),"")</f>
        <v/>
      </c>
      <c r="AO343" s="140" t="str">
        <f>IFERROR((_xlfn.XLOOKUP($A343,'WTG Reactive Power'!$A:$A,'WTG Reactive Power'!$AR:$AR))/X343/1000,"")</f>
        <v/>
      </c>
      <c r="AP343" s="140">
        <f>IFERROR(_xlfn.XLOOKUP($D343,'Modelling New'!$D:$D,'Modelling New'!$AK:$AK),"")</f>
        <v>0.05</v>
      </c>
      <c r="AQ343" s="140">
        <f>IFERROR(_xlfn.XLOOKUP($D343,'Modelling New'!$D:$D,'Modelling New'!$AL:$AL),"")</f>
        <v>0.05</v>
      </c>
      <c r="AR343">
        <f>IFERROR(_xlfn.XLOOKUP($D343,'Modelling New'!$D:$D,'Modelling New'!$N:$N),"")</f>
        <v>78</v>
      </c>
    </row>
    <row r="344" spans="1:44">
      <c r="A344" s="134">
        <f t="shared" si="32"/>
        <v>46087</v>
      </c>
      <c r="B344" s="123">
        <f>YEAR(Table13[[#This Row],[Date]])+IF(MONTH(Table13[[#This Row],[Date]])&gt;=4,1,0)</f>
        <v>2026</v>
      </c>
      <c r="C344" s="121">
        <f>YEAR(Table13[[#This Row],[Date]])</f>
        <v>2026</v>
      </c>
      <c r="D344" s="135">
        <f>Table13[[#This Row],[Date]]-DAY(Table13[[#This Row],[Date]])+1</f>
        <v>46082</v>
      </c>
      <c r="E344" s="121">
        <f t="shared" si="33"/>
        <v>31</v>
      </c>
      <c r="F344" s="124"/>
      <c r="G344" s="125"/>
      <c r="H344" s="125"/>
      <c r="I344" s="125"/>
      <c r="J344" s="125"/>
      <c r="K344" s="136"/>
      <c r="L344" s="125"/>
      <c r="M344" s="125" t="str">
        <f>IFERROR(_xlfn.XLOOKUP($A344,Input_Raw!$A:$A,Input_Raw!CG:CG),"")</f>
        <v/>
      </c>
      <c r="N344" s="125" t="str">
        <f>IFERROR(_xlfn.XLOOKUP($A344,Input_Raw!$A:$A,Input_Raw!CH:CH),"")</f>
        <v/>
      </c>
      <c r="O344" s="137" t="str">
        <f t="shared" si="34"/>
        <v/>
      </c>
      <c r="P344" s="137" t="str">
        <f>IFERROR(1-SUMIF(WTG_BD!$F:$F,$A344,WTG_BD!$AA:$AA)/($AA344+SUMIF(WTG_BD!$F:$F,$A344,WTG_BD!$AA:$AA)),"")</f>
        <v/>
      </c>
      <c r="Q344" s="138" t="str">
        <f>IFERROR(1-SUMIF(IGA_BD!$F:$F,$A344,IGA_BD!$V:$V)/($AA344+SUMIF(IGA_BD!$F:$F,$A344,IGA_BD!$V:$V)),"")</f>
        <v/>
      </c>
      <c r="R344" s="143" t="str">
        <f>IFERROR(1-SUMIF(Grid_BD!$F:$F,$A344,Grid_BD!$X:$X)/($AA344+SUMIF(Grid_BD!$F:$F,$A344,Grid_BD!$X:$X)),"")</f>
        <v/>
      </c>
      <c r="S344" s="121"/>
      <c r="T344" s="138"/>
      <c r="U344" s="139"/>
      <c r="V344" s="121"/>
      <c r="W344" s="140" t="str">
        <f>IFERROR(Table13[[#This Row],[Mtr_Net_Exp (KWh)]]/(24*AR344*1000),"")</f>
        <v/>
      </c>
      <c r="X344" s="121" t="str">
        <f>IFERROR(_xlfn.XLOOKUP($A344,Input_Raw!$A:$A,Input_Raw!$CF:$CF),"")</f>
        <v/>
      </c>
      <c r="Y344" s="121" t="str">
        <f>IFERROR(_xlfn.XLOOKUP($A344,Input_Raw!$A:$A,Input_Raw!$CZ:$CZ),"")</f>
        <v/>
      </c>
      <c r="Z344" s="121" t="str">
        <f>IFERROR(_xlfn.XLOOKUP($A344,Input_Raw!$A:$A,Input_Raw!$DA:$DA),"")</f>
        <v/>
      </c>
      <c r="AA344" s="123" t="str">
        <f t="shared" si="35"/>
        <v/>
      </c>
      <c r="AB344" s="121" t="str">
        <f>IFERROR(_xlfn.XLOOKUP($A344,Input_Raw!$A:$A,Input_Raw!$DG:$DG),"")</f>
        <v/>
      </c>
      <c r="AC344" s="141">
        <f>IFERROR(_xlfn.XLOOKUP($D344,'Modelling New'!$D:$D,'Modelling New'!$J:$J),"")</f>
        <v>4.5999999999999996</v>
      </c>
      <c r="AD344" s="123">
        <f>IFERROR(_xlfn.XLOOKUP($D344,'Modelling New'!$D:$D,'Modelling New'!$T:$T)*1000,"")</f>
        <v>221156.23146397382</v>
      </c>
      <c r="AE344" s="140"/>
      <c r="AF344" s="140">
        <f>IFERROR(_xlfn.XLOOKUP($D344,'Modelling New'!$D:$D,'Modelling New'!$W:$W),"")</f>
        <v>0.11813901253417405</v>
      </c>
      <c r="AG344" s="140">
        <f>IFERROR(_xlfn.XLOOKUP($D344,'Modelling New'!$D:$D,'Modelling New'!$AE:$AE),"")</f>
        <v>0.96029999999999993</v>
      </c>
      <c r="AH344" s="140">
        <f>IFERROR(_xlfn.XLOOKUP($D344,'Modelling New'!$D:$D,'Modelling New'!$AF:$AF),"")</f>
        <v>0.995</v>
      </c>
      <c r="AI344" s="121" t="str">
        <f>IFERROR(_xlfn.XLOOKUP($A344,Input_Raw!$A:$A,Input_Raw!$DE:$DE),"")</f>
        <v/>
      </c>
      <c r="AJ344" s="121"/>
      <c r="AK344" s="121"/>
      <c r="AL344" s="121"/>
      <c r="AM344" s="121"/>
      <c r="AN344" s="142" t="str">
        <f>IFERROR(_xlfn.XLOOKUP($A344,Input_Raw!$A:$A,Input_Raw!$DB:$DB),"")</f>
        <v/>
      </c>
      <c r="AO344" s="140" t="str">
        <f>IFERROR((_xlfn.XLOOKUP($A344,'WTG Reactive Power'!$A:$A,'WTG Reactive Power'!$AR:$AR))/X344/1000,"")</f>
        <v/>
      </c>
      <c r="AP344" s="140">
        <f>IFERROR(_xlfn.XLOOKUP($D344,'Modelling New'!$D:$D,'Modelling New'!$AK:$AK),"")</f>
        <v>0.05</v>
      </c>
      <c r="AQ344" s="140">
        <f>IFERROR(_xlfn.XLOOKUP($D344,'Modelling New'!$D:$D,'Modelling New'!$AL:$AL),"")</f>
        <v>0.05</v>
      </c>
      <c r="AR344">
        <f>IFERROR(_xlfn.XLOOKUP($D344,'Modelling New'!$D:$D,'Modelling New'!$N:$N),"")</f>
        <v>78</v>
      </c>
    </row>
    <row r="345" spans="1:44">
      <c r="A345" s="134">
        <f t="shared" si="32"/>
        <v>46088</v>
      </c>
      <c r="B345" s="123">
        <f>YEAR(Table13[[#This Row],[Date]])+IF(MONTH(Table13[[#This Row],[Date]])&gt;=4,1,0)</f>
        <v>2026</v>
      </c>
      <c r="C345" s="121">
        <f>YEAR(Table13[[#This Row],[Date]])</f>
        <v>2026</v>
      </c>
      <c r="D345" s="135">
        <f>Table13[[#This Row],[Date]]-DAY(Table13[[#This Row],[Date]])+1</f>
        <v>46082</v>
      </c>
      <c r="E345" s="121">
        <f t="shared" si="33"/>
        <v>31</v>
      </c>
      <c r="F345" s="124"/>
      <c r="G345" s="125"/>
      <c r="H345" s="125"/>
      <c r="I345" s="125"/>
      <c r="J345" s="125"/>
      <c r="K345" s="136"/>
      <c r="L345" s="125"/>
      <c r="M345" s="125" t="str">
        <f>IFERROR(_xlfn.XLOOKUP($A345,Input_Raw!$A:$A,Input_Raw!CG:CG),"")</f>
        <v/>
      </c>
      <c r="N345" s="125" t="str">
        <f>IFERROR(_xlfn.XLOOKUP($A345,Input_Raw!$A:$A,Input_Raw!CH:CH),"")</f>
        <v/>
      </c>
      <c r="O345" s="137" t="str">
        <f t="shared" si="34"/>
        <v/>
      </c>
      <c r="P345" s="137" t="str">
        <f>IFERROR(1-SUMIF(WTG_BD!$F:$F,$A345,WTG_BD!$AA:$AA)/($AA345+SUMIF(WTG_BD!$F:$F,$A345,WTG_BD!$AA:$AA)),"")</f>
        <v/>
      </c>
      <c r="Q345" s="138" t="str">
        <f>IFERROR(1-SUMIF(IGA_BD!$F:$F,$A345,IGA_BD!$V:$V)/($AA345+SUMIF(IGA_BD!$F:$F,$A345,IGA_BD!$V:$V)),"")</f>
        <v/>
      </c>
      <c r="R345" s="143" t="str">
        <f>IFERROR(1-SUMIF(Grid_BD!$F:$F,$A345,Grid_BD!$X:$X)/($AA345+SUMIF(Grid_BD!$F:$F,$A345,Grid_BD!$X:$X)),"")</f>
        <v/>
      </c>
      <c r="S345" s="121"/>
      <c r="T345" s="138"/>
      <c r="U345" s="139"/>
      <c r="V345" s="121"/>
      <c r="W345" s="140" t="str">
        <f>IFERROR(Table13[[#This Row],[Mtr_Net_Exp (KWh)]]/(24*AR345*1000),"")</f>
        <v/>
      </c>
      <c r="X345" s="121" t="str">
        <f>IFERROR(_xlfn.XLOOKUP($A345,Input_Raw!$A:$A,Input_Raw!$CF:$CF),"")</f>
        <v/>
      </c>
      <c r="Y345" s="121" t="str">
        <f>IFERROR(_xlfn.XLOOKUP($A345,Input_Raw!$A:$A,Input_Raw!$CZ:$CZ),"")</f>
        <v/>
      </c>
      <c r="Z345" s="121" t="str">
        <f>IFERROR(_xlfn.XLOOKUP($A345,Input_Raw!$A:$A,Input_Raw!$DA:$DA),"")</f>
        <v/>
      </c>
      <c r="AA345" s="123" t="str">
        <f t="shared" si="35"/>
        <v/>
      </c>
      <c r="AB345" s="121" t="str">
        <f>IFERROR(_xlfn.XLOOKUP($A345,Input_Raw!$A:$A,Input_Raw!$DG:$DG),"")</f>
        <v/>
      </c>
      <c r="AC345" s="141">
        <f>IFERROR(_xlfn.XLOOKUP($D345,'Modelling New'!$D:$D,'Modelling New'!$J:$J),"")</f>
        <v>4.5999999999999996</v>
      </c>
      <c r="AD345" s="123">
        <f>IFERROR(_xlfn.XLOOKUP($D345,'Modelling New'!$D:$D,'Modelling New'!$T:$T)*1000,"")</f>
        <v>221156.23146397382</v>
      </c>
      <c r="AE345" s="140"/>
      <c r="AF345" s="140">
        <f>IFERROR(_xlfn.XLOOKUP($D345,'Modelling New'!$D:$D,'Modelling New'!$W:$W),"")</f>
        <v>0.11813901253417405</v>
      </c>
      <c r="AG345" s="140">
        <f>IFERROR(_xlfn.XLOOKUP($D345,'Modelling New'!$D:$D,'Modelling New'!$AE:$AE),"")</f>
        <v>0.96029999999999993</v>
      </c>
      <c r="AH345" s="140">
        <f>IFERROR(_xlfn.XLOOKUP($D345,'Modelling New'!$D:$D,'Modelling New'!$AF:$AF),"")</f>
        <v>0.995</v>
      </c>
      <c r="AI345" s="121" t="str">
        <f>IFERROR(_xlfn.XLOOKUP($A345,Input_Raw!$A:$A,Input_Raw!$DE:$DE),"")</f>
        <v/>
      </c>
      <c r="AJ345" s="121"/>
      <c r="AK345" s="121"/>
      <c r="AL345" s="121"/>
      <c r="AM345" s="121"/>
      <c r="AN345" s="142" t="str">
        <f>IFERROR(_xlfn.XLOOKUP($A345,Input_Raw!$A:$A,Input_Raw!$DB:$DB),"")</f>
        <v/>
      </c>
      <c r="AO345" s="140" t="str">
        <f>IFERROR((_xlfn.XLOOKUP($A345,'WTG Reactive Power'!$A:$A,'WTG Reactive Power'!$AR:$AR))/X345/1000,"")</f>
        <v/>
      </c>
      <c r="AP345" s="140">
        <f>IFERROR(_xlfn.XLOOKUP($D345,'Modelling New'!$D:$D,'Modelling New'!$AK:$AK),"")</f>
        <v>0.05</v>
      </c>
      <c r="AQ345" s="140">
        <f>IFERROR(_xlfn.XLOOKUP($D345,'Modelling New'!$D:$D,'Modelling New'!$AL:$AL),"")</f>
        <v>0.05</v>
      </c>
      <c r="AR345">
        <f>IFERROR(_xlfn.XLOOKUP($D345,'Modelling New'!$D:$D,'Modelling New'!$N:$N),"")</f>
        <v>78</v>
      </c>
    </row>
    <row r="346" spans="1:44">
      <c r="A346" s="134">
        <f t="shared" si="32"/>
        <v>46089</v>
      </c>
      <c r="B346" s="123">
        <f>YEAR(Table13[[#This Row],[Date]])+IF(MONTH(Table13[[#This Row],[Date]])&gt;=4,1,0)</f>
        <v>2026</v>
      </c>
      <c r="C346" s="121">
        <f>YEAR(Table13[[#This Row],[Date]])</f>
        <v>2026</v>
      </c>
      <c r="D346" s="135">
        <f>Table13[[#This Row],[Date]]-DAY(Table13[[#This Row],[Date]])+1</f>
        <v>46082</v>
      </c>
      <c r="E346" s="121">
        <f t="shared" si="33"/>
        <v>31</v>
      </c>
      <c r="F346" s="124"/>
      <c r="G346" s="125"/>
      <c r="H346" s="125"/>
      <c r="I346" s="125"/>
      <c r="J346" s="125"/>
      <c r="K346" s="136"/>
      <c r="L346" s="125"/>
      <c r="M346" s="125" t="str">
        <f>IFERROR(_xlfn.XLOOKUP($A346,Input_Raw!$A:$A,Input_Raw!CG:CG),"")</f>
        <v/>
      </c>
      <c r="N346" s="125" t="str">
        <f>IFERROR(_xlfn.XLOOKUP($A346,Input_Raw!$A:$A,Input_Raw!CH:CH),"")</f>
        <v/>
      </c>
      <c r="O346" s="137" t="str">
        <f t="shared" si="34"/>
        <v/>
      </c>
      <c r="P346" s="137" t="str">
        <f>IFERROR(1-SUMIF(WTG_BD!$F:$F,$A346,WTG_BD!$AA:$AA)/($AA346+SUMIF(WTG_BD!$F:$F,$A346,WTG_BD!$AA:$AA)),"")</f>
        <v/>
      </c>
      <c r="Q346" s="138" t="str">
        <f>IFERROR(1-SUMIF(IGA_BD!$F:$F,$A346,IGA_BD!$V:$V)/($AA346+SUMIF(IGA_BD!$F:$F,$A346,IGA_BD!$V:$V)),"")</f>
        <v/>
      </c>
      <c r="R346" s="143" t="str">
        <f>IFERROR(1-SUMIF(Grid_BD!$F:$F,$A346,Grid_BD!$X:$X)/($AA346+SUMIF(Grid_BD!$F:$F,$A346,Grid_BD!$X:$X)),"")</f>
        <v/>
      </c>
      <c r="S346" s="121"/>
      <c r="T346" s="138"/>
      <c r="U346" s="139"/>
      <c r="V346" s="121"/>
      <c r="W346" s="140" t="str">
        <f>IFERROR(Table13[[#This Row],[Mtr_Net_Exp (KWh)]]/(24*AR346*1000),"")</f>
        <v/>
      </c>
      <c r="X346" s="121" t="str">
        <f>IFERROR(_xlfn.XLOOKUP($A346,Input_Raw!$A:$A,Input_Raw!$CF:$CF),"")</f>
        <v/>
      </c>
      <c r="Y346" s="121" t="str">
        <f>IFERROR(_xlfn.XLOOKUP($A346,Input_Raw!$A:$A,Input_Raw!$CZ:$CZ),"")</f>
        <v/>
      </c>
      <c r="Z346" s="121" t="str">
        <f>IFERROR(_xlfn.XLOOKUP($A346,Input_Raw!$A:$A,Input_Raw!$DA:$DA),"")</f>
        <v/>
      </c>
      <c r="AA346" s="123" t="str">
        <f t="shared" si="35"/>
        <v/>
      </c>
      <c r="AB346" s="121" t="str">
        <f>IFERROR(_xlfn.XLOOKUP($A346,Input_Raw!$A:$A,Input_Raw!$DG:$DG),"")</f>
        <v/>
      </c>
      <c r="AC346" s="141">
        <f>IFERROR(_xlfn.XLOOKUP($D346,'Modelling New'!$D:$D,'Modelling New'!$J:$J),"")</f>
        <v>4.5999999999999996</v>
      </c>
      <c r="AD346" s="123">
        <f>IFERROR(_xlfn.XLOOKUP($D346,'Modelling New'!$D:$D,'Modelling New'!$T:$T)*1000,"")</f>
        <v>221156.23146397382</v>
      </c>
      <c r="AE346" s="140"/>
      <c r="AF346" s="140">
        <f>IFERROR(_xlfn.XLOOKUP($D346,'Modelling New'!$D:$D,'Modelling New'!$W:$W),"")</f>
        <v>0.11813901253417405</v>
      </c>
      <c r="AG346" s="140">
        <f>IFERROR(_xlfn.XLOOKUP($D346,'Modelling New'!$D:$D,'Modelling New'!$AE:$AE),"")</f>
        <v>0.96029999999999993</v>
      </c>
      <c r="AH346" s="140">
        <f>IFERROR(_xlfn.XLOOKUP($D346,'Modelling New'!$D:$D,'Modelling New'!$AF:$AF),"")</f>
        <v>0.995</v>
      </c>
      <c r="AI346" s="121" t="str">
        <f>IFERROR(_xlfn.XLOOKUP($A346,Input_Raw!$A:$A,Input_Raw!$DE:$DE),"")</f>
        <v/>
      </c>
      <c r="AJ346" s="121"/>
      <c r="AK346" s="121"/>
      <c r="AL346" s="121"/>
      <c r="AM346" s="121"/>
      <c r="AN346" s="142" t="str">
        <f>IFERROR(_xlfn.XLOOKUP($A346,Input_Raw!$A:$A,Input_Raw!$DB:$DB),"")</f>
        <v/>
      </c>
      <c r="AO346" s="140" t="str">
        <f>IFERROR((_xlfn.XLOOKUP($A346,'WTG Reactive Power'!$A:$A,'WTG Reactive Power'!$AR:$AR))/X346/1000,"")</f>
        <v/>
      </c>
      <c r="AP346" s="140">
        <f>IFERROR(_xlfn.XLOOKUP($D346,'Modelling New'!$D:$D,'Modelling New'!$AK:$AK),"")</f>
        <v>0.05</v>
      </c>
      <c r="AQ346" s="140">
        <f>IFERROR(_xlfn.XLOOKUP($D346,'Modelling New'!$D:$D,'Modelling New'!$AL:$AL),"")</f>
        <v>0.05</v>
      </c>
      <c r="AR346">
        <f>IFERROR(_xlfn.XLOOKUP($D346,'Modelling New'!$D:$D,'Modelling New'!$N:$N),"")</f>
        <v>78</v>
      </c>
    </row>
    <row r="347" spans="1:44">
      <c r="A347" s="134">
        <f t="shared" si="32"/>
        <v>46090</v>
      </c>
      <c r="B347" s="123">
        <f>YEAR(Table13[[#This Row],[Date]])+IF(MONTH(Table13[[#This Row],[Date]])&gt;=4,1,0)</f>
        <v>2026</v>
      </c>
      <c r="C347" s="121">
        <f>YEAR(Table13[[#This Row],[Date]])</f>
        <v>2026</v>
      </c>
      <c r="D347" s="135">
        <f>Table13[[#This Row],[Date]]-DAY(Table13[[#This Row],[Date]])+1</f>
        <v>46082</v>
      </c>
      <c r="E347" s="121">
        <f t="shared" si="33"/>
        <v>31</v>
      </c>
      <c r="F347" s="124"/>
      <c r="G347" s="125"/>
      <c r="H347" s="125"/>
      <c r="I347" s="125"/>
      <c r="J347" s="125"/>
      <c r="K347" s="136"/>
      <c r="L347" s="125"/>
      <c r="M347" s="125" t="str">
        <f>IFERROR(_xlfn.XLOOKUP($A347,Input_Raw!$A:$A,Input_Raw!CG:CG),"")</f>
        <v/>
      </c>
      <c r="N347" s="125" t="str">
        <f>IFERROR(_xlfn.XLOOKUP($A347,Input_Raw!$A:$A,Input_Raw!CH:CH),"")</f>
        <v/>
      </c>
      <c r="O347" s="137" t="str">
        <f t="shared" si="34"/>
        <v/>
      </c>
      <c r="P347" s="137" t="str">
        <f>IFERROR(1-SUMIF(WTG_BD!$F:$F,$A347,WTG_BD!$AA:$AA)/($AA347+SUMIF(WTG_BD!$F:$F,$A347,WTG_BD!$AA:$AA)),"")</f>
        <v/>
      </c>
      <c r="Q347" s="138" t="str">
        <f>IFERROR(1-SUMIF(IGA_BD!$F:$F,$A347,IGA_BD!$V:$V)/($AA347+SUMIF(IGA_BD!$F:$F,$A347,IGA_BD!$V:$V)),"")</f>
        <v/>
      </c>
      <c r="R347" s="143" t="str">
        <f>IFERROR(1-SUMIF(Grid_BD!$F:$F,$A347,Grid_BD!$X:$X)/($AA347+SUMIF(Grid_BD!$F:$F,$A347,Grid_BD!$X:$X)),"")</f>
        <v/>
      </c>
      <c r="S347" s="121"/>
      <c r="T347" s="138"/>
      <c r="U347" s="139"/>
      <c r="V347" s="121"/>
      <c r="W347" s="140" t="str">
        <f>IFERROR(Table13[[#This Row],[Mtr_Net_Exp (KWh)]]/(24*AR347*1000),"")</f>
        <v/>
      </c>
      <c r="X347" s="121" t="str">
        <f>IFERROR(_xlfn.XLOOKUP($A347,Input_Raw!$A:$A,Input_Raw!$CF:$CF),"")</f>
        <v/>
      </c>
      <c r="Y347" s="121" t="str">
        <f>IFERROR(_xlfn.XLOOKUP($A347,Input_Raw!$A:$A,Input_Raw!$CZ:$CZ),"")</f>
        <v/>
      </c>
      <c r="Z347" s="121" t="str">
        <f>IFERROR(_xlfn.XLOOKUP($A347,Input_Raw!$A:$A,Input_Raw!$DA:$DA),"")</f>
        <v/>
      </c>
      <c r="AA347" s="123" t="str">
        <f t="shared" si="35"/>
        <v/>
      </c>
      <c r="AB347" s="121" t="str">
        <f>IFERROR(_xlfn.XLOOKUP($A347,Input_Raw!$A:$A,Input_Raw!$DG:$DG),"")</f>
        <v/>
      </c>
      <c r="AC347" s="141">
        <f>IFERROR(_xlfn.XLOOKUP($D347,'Modelling New'!$D:$D,'Modelling New'!$J:$J),"")</f>
        <v>4.5999999999999996</v>
      </c>
      <c r="AD347" s="123">
        <f>IFERROR(_xlfn.XLOOKUP($D347,'Modelling New'!$D:$D,'Modelling New'!$T:$T)*1000,"")</f>
        <v>221156.23146397382</v>
      </c>
      <c r="AE347" s="140"/>
      <c r="AF347" s="140">
        <f>IFERROR(_xlfn.XLOOKUP($D347,'Modelling New'!$D:$D,'Modelling New'!$W:$W),"")</f>
        <v>0.11813901253417405</v>
      </c>
      <c r="AG347" s="140">
        <f>IFERROR(_xlfn.XLOOKUP($D347,'Modelling New'!$D:$D,'Modelling New'!$AE:$AE),"")</f>
        <v>0.96029999999999993</v>
      </c>
      <c r="AH347" s="140">
        <f>IFERROR(_xlfn.XLOOKUP($D347,'Modelling New'!$D:$D,'Modelling New'!$AF:$AF),"")</f>
        <v>0.995</v>
      </c>
      <c r="AI347" s="121" t="str">
        <f>IFERROR(_xlfn.XLOOKUP($A347,Input_Raw!$A:$A,Input_Raw!$DE:$DE),"")</f>
        <v/>
      </c>
      <c r="AJ347" s="121"/>
      <c r="AK347" s="121"/>
      <c r="AL347" s="121"/>
      <c r="AM347" s="121"/>
      <c r="AN347" s="142" t="str">
        <f>IFERROR(_xlfn.XLOOKUP($A347,Input_Raw!$A:$A,Input_Raw!$DB:$DB),"")</f>
        <v/>
      </c>
      <c r="AO347" s="140" t="str">
        <f>IFERROR((_xlfn.XLOOKUP($A347,'WTG Reactive Power'!$A:$A,'WTG Reactive Power'!$AR:$AR))/X347/1000,"")</f>
        <v/>
      </c>
      <c r="AP347" s="140">
        <f>IFERROR(_xlfn.XLOOKUP($D347,'Modelling New'!$D:$D,'Modelling New'!$AK:$AK),"")</f>
        <v>0.05</v>
      </c>
      <c r="AQ347" s="140">
        <f>IFERROR(_xlfn.XLOOKUP($D347,'Modelling New'!$D:$D,'Modelling New'!$AL:$AL),"")</f>
        <v>0.05</v>
      </c>
      <c r="AR347">
        <f>IFERROR(_xlfn.XLOOKUP($D347,'Modelling New'!$D:$D,'Modelling New'!$N:$N),"")</f>
        <v>78</v>
      </c>
    </row>
    <row r="348" spans="1:44">
      <c r="A348" s="134">
        <f t="shared" si="32"/>
        <v>46091</v>
      </c>
      <c r="B348" s="123">
        <f>YEAR(Table13[[#This Row],[Date]])+IF(MONTH(Table13[[#This Row],[Date]])&gt;=4,1,0)</f>
        <v>2026</v>
      </c>
      <c r="C348" s="121">
        <f>YEAR(Table13[[#This Row],[Date]])</f>
        <v>2026</v>
      </c>
      <c r="D348" s="135">
        <f>Table13[[#This Row],[Date]]-DAY(Table13[[#This Row],[Date]])+1</f>
        <v>46082</v>
      </c>
      <c r="E348" s="121">
        <f t="shared" si="33"/>
        <v>31</v>
      </c>
      <c r="F348" s="124"/>
      <c r="G348" s="125"/>
      <c r="H348" s="125"/>
      <c r="I348" s="125"/>
      <c r="J348" s="125"/>
      <c r="K348" s="136"/>
      <c r="L348" s="125"/>
      <c r="M348" s="125" t="str">
        <f>IFERROR(_xlfn.XLOOKUP($A348,Input_Raw!$A:$A,Input_Raw!CG:CG),"")</f>
        <v/>
      </c>
      <c r="N348" s="125" t="str">
        <f>IFERROR(_xlfn.XLOOKUP($A348,Input_Raw!$A:$A,Input_Raw!CH:CH),"")</f>
        <v/>
      </c>
      <c r="O348" s="137" t="str">
        <f t="shared" si="34"/>
        <v/>
      </c>
      <c r="P348" s="137" t="str">
        <f>IFERROR(1-SUMIF(WTG_BD!$F:$F,$A348,WTG_BD!$AA:$AA)/($AA348+SUMIF(WTG_BD!$F:$F,$A348,WTG_BD!$AA:$AA)),"")</f>
        <v/>
      </c>
      <c r="Q348" s="138" t="str">
        <f>IFERROR(1-SUMIF(IGA_BD!$F:$F,$A348,IGA_BD!$V:$V)/($AA348+SUMIF(IGA_BD!$F:$F,$A348,IGA_BD!$V:$V)),"")</f>
        <v/>
      </c>
      <c r="R348" s="143" t="str">
        <f>IFERROR(1-SUMIF(Grid_BD!$F:$F,$A348,Grid_BD!$X:$X)/($AA348+SUMIF(Grid_BD!$F:$F,$A348,Grid_BD!$X:$X)),"")</f>
        <v/>
      </c>
      <c r="S348" s="121"/>
      <c r="T348" s="138"/>
      <c r="U348" s="139"/>
      <c r="V348" s="121"/>
      <c r="W348" s="140" t="str">
        <f>IFERROR(Table13[[#This Row],[Mtr_Net_Exp (KWh)]]/(24*AR348*1000),"")</f>
        <v/>
      </c>
      <c r="X348" s="121" t="str">
        <f>IFERROR(_xlfn.XLOOKUP($A348,Input_Raw!$A:$A,Input_Raw!$CF:$CF),"")</f>
        <v/>
      </c>
      <c r="Y348" s="121" t="str">
        <f>IFERROR(_xlfn.XLOOKUP($A348,Input_Raw!$A:$A,Input_Raw!$CZ:$CZ),"")</f>
        <v/>
      </c>
      <c r="Z348" s="121" t="str">
        <f>IFERROR(_xlfn.XLOOKUP($A348,Input_Raw!$A:$A,Input_Raw!$DA:$DA),"")</f>
        <v/>
      </c>
      <c r="AA348" s="123" t="str">
        <f t="shared" si="35"/>
        <v/>
      </c>
      <c r="AB348" s="121" t="str">
        <f>IFERROR(_xlfn.XLOOKUP($A348,Input_Raw!$A:$A,Input_Raw!$DG:$DG),"")</f>
        <v/>
      </c>
      <c r="AC348" s="141">
        <f>IFERROR(_xlfn.XLOOKUP($D348,'Modelling New'!$D:$D,'Modelling New'!$J:$J),"")</f>
        <v>4.5999999999999996</v>
      </c>
      <c r="AD348" s="123">
        <f>IFERROR(_xlfn.XLOOKUP($D348,'Modelling New'!$D:$D,'Modelling New'!$T:$T)*1000,"")</f>
        <v>221156.23146397382</v>
      </c>
      <c r="AE348" s="140"/>
      <c r="AF348" s="140">
        <f>IFERROR(_xlfn.XLOOKUP($D348,'Modelling New'!$D:$D,'Modelling New'!$W:$W),"")</f>
        <v>0.11813901253417405</v>
      </c>
      <c r="AG348" s="140">
        <f>IFERROR(_xlfn.XLOOKUP($D348,'Modelling New'!$D:$D,'Modelling New'!$AE:$AE),"")</f>
        <v>0.96029999999999993</v>
      </c>
      <c r="AH348" s="140">
        <f>IFERROR(_xlfn.XLOOKUP($D348,'Modelling New'!$D:$D,'Modelling New'!$AF:$AF),"")</f>
        <v>0.995</v>
      </c>
      <c r="AI348" s="121" t="str">
        <f>IFERROR(_xlfn.XLOOKUP($A348,Input_Raw!$A:$A,Input_Raw!$DE:$DE),"")</f>
        <v/>
      </c>
      <c r="AJ348" s="121"/>
      <c r="AK348" s="121"/>
      <c r="AL348" s="121"/>
      <c r="AM348" s="121"/>
      <c r="AN348" s="142" t="str">
        <f>IFERROR(_xlfn.XLOOKUP($A348,Input_Raw!$A:$A,Input_Raw!$DB:$DB),"")</f>
        <v/>
      </c>
      <c r="AO348" s="140" t="str">
        <f>IFERROR((_xlfn.XLOOKUP($A348,'WTG Reactive Power'!$A:$A,'WTG Reactive Power'!$AR:$AR))/X348/1000,"")</f>
        <v/>
      </c>
      <c r="AP348" s="140">
        <f>IFERROR(_xlfn.XLOOKUP($D348,'Modelling New'!$D:$D,'Modelling New'!$AK:$AK),"")</f>
        <v>0.05</v>
      </c>
      <c r="AQ348" s="140">
        <f>IFERROR(_xlfn.XLOOKUP($D348,'Modelling New'!$D:$D,'Modelling New'!$AL:$AL),"")</f>
        <v>0.05</v>
      </c>
      <c r="AR348">
        <f>IFERROR(_xlfn.XLOOKUP($D348,'Modelling New'!$D:$D,'Modelling New'!$N:$N),"")</f>
        <v>78</v>
      </c>
    </row>
    <row r="349" spans="1:44">
      <c r="A349" s="134">
        <f t="shared" si="32"/>
        <v>46092</v>
      </c>
      <c r="B349" s="123">
        <f>YEAR(Table13[[#This Row],[Date]])+IF(MONTH(Table13[[#This Row],[Date]])&gt;=4,1,0)</f>
        <v>2026</v>
      </c>
      <c r="C349" s="121">
        <f>YEAR(Table13[[#This Row],[Date]])</f>
        <v>2026</v>
      </c>
      <c r="D349" s="135">
        <f>Table13[[#This Row],[Date]]-DAY(Table13[[#This Row],[Date]])+1</f>
        <v>46082</v>
      </c>
      <c r="E349" s="121">
        <f t="shared" si="33"/>
        <v>31</v>
      </c>
      <c r="F349" s="124"/>
      <c r="G349" s="125"/>
      <c r="H349" s="125"/>
      <c r="I349" s="125"/>
      <c r="J349" s="125"/>
      <c r="K349" s="136"/>
      <c r="L349" s="125"/>
      <c r="M349" s="125" t="str">
        <f>IFERROR(_xlfn.XLOOKUP($A349,Input_Raw!$A:$A,Input_Raw!CG:CG),"")</f>
        <v/>
      </c>
      <c r="N349" s="125" t="str">
        <f>IFERROR(_xlfn.XLOOKUP($A349,Input_Raw!$A:$A,Input_Raw!CH:CH),"")</f>
        <v/>
      </c>
      <c r="O349" s="137" t="str">
        <f t="shared" si="34"/>
        <v/>
      </c>
      <c r="P349" s="137" t="str">
        <f>IFERROR(1-SUMIF(WTG_BD!$F:$F,$A349,WTG_BD!$AA:$AA)/($AA349+SUMIF(WTG_BD!$F:$F,$A349,WTG_BD!$AA:$AA)),"")</f>
        <v/>
      </c>
      <c r="Q349" s="138" t="str">
        <f>IFERROR(1-SUMIF(IGA_BD!$F:$F,$A349,IGA_BD!$V:$V)/($AA349+SUMIF(IGA_BD!$F:$F,$A349,IGA_BD!$V:$V)),"")</f>
        <v/>
      </c>
      <c r="R349" s="143" t="str">
        <f>IFERROR(1-SUMIF(Grid_BD!$F:$F,$A349,Grid_BD!$X:$X)/($AA349+SUMIF(Grid_BD!$F:$F,$A349,Grid_BD!$X:$X)),"")</f>
        <v/>
      </c>
      <c r="S349" s="121"/>
      <c r="T349" s="138"/>
      <c r="U349" s="139"/>
      <c r="V349" s="121"/>
      <c r="W349" s="140" t="str">
        <f>IFERROR(Table13[[#This Row],[Mtr_Net_Exp (KWh)]]/(24*AR349*1000),"")</f>
        <v/>
      </c>
      <c r="X349" s="121" t="str">
        <f>IFERROR(_xlfn.XLOOKUP($A349,Input_Raw!$A:$A,Input_Raw!$CF:$CF),"")</f>
        <v/>
      </c>
      <c r="Y349" s="121" t="str">
        <f>IFERROR(_xlfn.XLOOKUP($A349,Input_Raw!$A:$A,Input_Raw!$CZ:$CZ),"")</f>
        <v/>
      </c>
      <c r="Z349" s="121" t="str">
        <f>IFERROR(_xlfn.XLOOKUP($A349,Input_Raw!$A:$A,Input_Raw!$DA:$DA),"")</f>
        <v/>
      </c>
      <c r="AA349" s="123" t="str">
        <f t="shared" si="35"/>
        <v/>
      </c>
      <c r="AB349" s="121" t="str">
        <f>IFERROR(_xlfn.XLOOKUP($A349,Input_Raw!$A:$A,Input_Raw!$DG:$DG),"")</f>
        <v/>
      </c>
      <c r="AC349" s="141">
        <f>IFERROR(_xlfn.XLOOKUP($D349,'Modelling New'!$D:$D,'Modelling New'!$J:$J),"")</f>
        <v>4.5999999999999996</v>
      </c>
      <c r="AD349" s="123">
        <f>IFERROR(_xlfn.XLOOKUP($D349,'Modelling New'!$D:$D,'Modelling New'!$T:$T)*1000,"")</f>
        <v>221156.23146397382</v>
      </c>
      <c r="AE349" s="140"/>
      <c r="AF349" s="140">
        <f>IFERROR(_xlfn.XLOOKUP($D349,'Modelling New'!$D:$D,'Modelling New'!$W:$W),"")</f>
        <v>0.11813901253417405</v>
      </c>
      <c r="AG349" s="140">
        <f>IFERROR(_xlfn.XLOOKUP($D349,'Modelling New'!$D:$D,'Modelling New'!$AE:$AE),"")</f>
        <v>0.96029999999999993</v>
      </c>
      <c r="AH349" s="140">
        <f>IFERROR(_xlfn.XLOOKUP($D349,'Modelling New'!$D:$D,'Modelling New'!$AF:$AF),"")</f>
        <v>0.995</v>
      </c>
      <c r="AI349" s="121" t="str">
        <f>IFERROR(_xlfn.XLOOKUP($A349,Input_Raw!$A:$A,Input_Raw!$DE:$DE),"")</f>
        <v/>
      </c>
      <c r="AJ349" s="121"/>
      <c r="AK349" s="121"/>
      <c r="AL349" s="121"/>
      <c r="AM349" s="121"/>
      <c r="AN349" s="142" t="str">
        <f>IFERROR(_xlfn.XLOOKUP($A349,Input_Raw!$A:$A,Input_Raw!$DB:$DB),"")</f>
        <v/>
      </c>
      <c r="AO349" s="140" t="str">
        <f>IFERROR((_xlfn.XLOOKUP($A349,'WTG Reactive Power'!$A:$A,'WTG Reactive Power'!$AR:$AR))/X349/1000,"")</f>
        <v/>
      </c>
      <c r="AP349" s="140">
        <f>IFERROR(_xlfn.XLOOKUP($D349,'Modelling New'!$D:$D,'Modelling New'!$AK:$AK),"")</f>
        <v>0.05</v>
      </c>
      <c r="AQ349" s="140">
        <f>IFERROR(_xlfn.XLOOKUP($D349,'Modelling New'!$D:$D,'Modelling New'!$AL:$AL),"")</f>
        <v>0.05</v>
      </c>
      <c r="AR349">
        <f>IFERROR(_xlfn.XLOOKUP($D349,'Modelling New'!$D:$D,'Modelling New'!$N:$N),"")</f>
        <v>78</v>
      </c>
    </row>
    <row r="350" spans="1:44">
      <c r="A350" s="134">
        <f t="shared" si="32"/>
        <v>46093</v>
      </c>
      <c r="B350" s="123">
        <f>YEAR(Table13[[#This Row],[Date]])+IF(MONTH(Table13[[#This Row],[Date]])&gt;=4,1,0)</f>
        <v>2026</v>
      </c>
      <c r="C350" s="121">
        <f>YEAR(Table13[[#This Row],[Date]])</f>
        <v>2026</v>
      </c>
      <c r="D350" s="135">
        <f>Table13[[#This Row],[Date]]-DAY(Table13[[#This Row],[Date]])+1</f>
        <v>46082</v>
      </c>
      <c r="E350" s="121">
        <f t="shared" si="33"/>
        <v>31</v>
      </c>
      <c r="F350" s="124"/>
      <c r="G350" s="125"/>
      <c r="H350" s="125"/>
      <c r="I350" s="125"/>
      <c r="J350" s="125"/>
      <c r="K350" s="136"/>
      <c r="L350" s="125"/>
      <c r="M350" s="125" t="str">
        <f>IFERROR(_xlfn.XLOOKUP($A350,Input_Raw!$A:$A,Input_Raw!CG:CG),"")</f>
        <v/>
      </c>
      <c r="N350" s="125" t="str">
        <f>IFERROR(_xlfn.XLOOKUP($A350,Input_Raw!$A:$A,Input_Raw!CH:CH),"")</f>
        <v/>
      </c>
      <c r="O350" s="137" t="str">
        <f t="shared" si="34"/>
        <v/>
      </c>
      <c r="P350" s="137" t="str">
        <f>IFERROR(1-SUMIF(WTG_BD!$F:$F,$A350,WTG_BD!$AA:$AA)/($AA350+SUMIF(WTG_BD!$F:$F,$A350,WTG_BD!$AA:$AA)),"")</f>
        <v/>
      </c>
      <c r="Q350" s="138" t="str">
        <f>IFERROR(1-SUMIF(IGA_BD!$F:$F,$A350,IGA_BD!$V:$V)/($AA350+SUMIF(IGA_BD!$F:$F,$A350,IGA_BD!$V:$V)),"")</f>
        <v/>
      </c>
      <c r="R350" s="143" t="str">
        <f>IFERROR(1-SUMIF(Grid_BD!$F:$F,$A350,Grid_BD!$X:$X)/($AA350+SUMIF(Grid_BD!$F:$F,$A350,Grid_BD!$X:$X)),"")</f>
        <v/>
      </c>
      <c r="S350" s="121"/>
      <c r="T350" s="138"/>
      <c r="U350" s="139"/>
      <c r="V350" s="121"/>
      <c r="W350" s="140" t="str">
        <f>IFERROR(Table13[[#This Row],[Mtr_Net_Exp (KWh)]]/(24*AR350*1000),"")</f>
        <v/>
      </c>
      <c r="X350" s="121" t="str">
        <f>IFERROR(_xlfn.XLOOKUP($A350,Input_Raw!$A:$A,Input_Raw!$CF:$CF),"")</f>
        <v/>
      </c>
      <c r="Y350" s="121" t="str">
        <f>IFERROR(_xlfn.XLOOKUP($A350,Input_Raw!$A:$A,Input_Raw!$CZ:$CZ),"")</f>
        <v/>
      </c>
      <c r="Z350" s="121" t="str">
        <f>IFERROR(_xlfn.XLOOKUP($A350,Input_Raw!$A:$A,Input_Raw!$DA:$DA),"")</f>
        <v/>
      </c>
      <c r="AA350" s="123" t="str">
        <f t="shared" si="35"/>
        <v/>
      </c>
      <c r="AB350" s="121" t="str">
        <f>IFERROR(_xlfn.XLOOKUP($A350,Input_Raw!$A:$A,Input_Raw!$DG:$DG),"")</f>
        <v/>
      </c>
      <c r="AC350" s="141">
        <f>IFERROR(_xlfn.XLOOKUP($D350,'Modelling New'!$D:$D,'Modelling New'!$J:$J),"")</f>
        <v>4.5999999999999996</v>
      </c>
      <c r="AD350" s="123">
        <f>IFERROR(_xlfn.XLOOKUP($D350,'Modelling New'!$D:$D,'Modelling New'!$T:$T)*1000,"")</f>
        <v>221156.23146397382</v>
      </c>
      <c r="AE350" s="140"/>
      <c r="AF350" s="140">
        <f>IFERROR(_xlfn.XLOOKUP($D350,'Modelling New'!$D:$D,'Modelling New'!$W:$W),"")</f>
        <v>0.11813901253417405</v>
      </c>
      <c r="AG350" s="140">
        <f>IFERROR(_xlfn.XLOOKUP($D350,'Modelling New'!$D:$D,'Modelling New'!$AE:$AE),"")</f>
        <v>0.96029999999999993</v>
      </c>
      <c r="AH350" s="140">
        <f>IFERROR(_xlfn.XLOOKUP($D350,'Modelling New'!$D:$D,'Modelling New'!$AF:$AF),"")</f>
        <v>0.995</v>
      </c>
      <c r="AI350" s="121" t="str">
        <f>IFERROR(_xlfn.XLOOKUP($A350,Input_Raw!$A:$A,Input_Raw!$DE:$DE),"")</f>
        <v/>
      </c>
      <c r="AJ350" s="121"/>
      <c r="AK350" s="121"/>
      <c r="AL350" s="121"/>
      <c r="AM350" s="121"/>
      <c r="AN350" s="142" t="str">
        <f>IFERROR(_xlfn.XLOOKUP($A350,Input_Raw!$A:$A,Input_Raw!$DB:$DB),"")</f>
        <v/>
      </c>
      <c r="AO350" s="140" t="str">
        <f>IFERROR((_xlfn.XLOOKUP($A350,'WTG Reactive Power'!$A:$A,'WTG Reactive Power'!$AR:$AR))/X350/1000,"")</f>
        <v/>
      </c>
      <c r="AP350" s="140">
        <f>IFERROR(_xlfn.XLOOKUP($D350,'Modelling New'!$D:$D,'Modelling New'!$AK:$AK),"")</f>
        <v>0.05</v>
      </c>
      <c r="AQ350" s="140">
        <f>IFERROR(_xlfn.XLOOKUP($D350,'Modelling New'!$D:$D,'Modelling New'!$AL:$AL),"")</f>
        <v>0.05</v>
      </c>
      <c r="AR350">
        <f>IFERROR(_xlfn.XLOOKUP($D350,'Modelling New'!$D:$D,'Modelling New'!$N:$N),"")</f>
        <v>78</v>
      </c>
    </row>
    <row r="351" spans="1:44">
      <c r="A351" s="134">
        <f t="shared" si="32"/>
        <v>46094</v>
      </c>
      <c r="B351" s="123">
        <f>YEAR(Table13[[#This Row],[Date]])+IF(MONTH(Table13[[#This Row],[Date]])&gt;=4,1,0)</f>
        <v>2026</v>
      </c>
      <c r="C351" s="121">
        <f>YEAR(Table13[[#This Row],[Date]])</f>
        <v>2026</v>
      </c>
      <c r="D351" s="135">
        <f>Table13[[#This Row],[Date]]-DAY(Table13[[#This Row],[Date]])+1</f>
        <v>46082</v>
      </c>
      <c r="E351" s="121">
        <f t="shared" si="33"/>
        <v>31</v>
      </c>
      <c r="F351" s="124"/>
      <c r="G351" s="125"/>
      <c r="H351" s="125"/>
      <c r="I351" s="125"/>
      <c r="J351" s="125"/>
      <c r="K351" s="136"/>
      <c r="L351" s="125"/>
      <c r="M351" s="125" t="str">
        <f>IFERROR(_xlfn.XLOOKUP($A351,Input_Raw!$A:$A,Input_Raw!CG:CG),"")</f>
        <v/>
      </c>
      <c r="N351" s="125" t="str">
        <f>IFERROR(_xlfn.XLOOKUP($A351,Input_Raw!$A:$A,Input_Raw!CH:CH),"")</f>
        <v/>
      </c>
      <c r="O351" s="137" t="str">
        <f t="shared" si="34"/>
        <v/>
      </c>
      <c r="P351" s="137" t="str">
        <f>IFERROR(1-SUMIF(WTG_BD!$F:$F,$A351,WTG_BD!$AA:$AA)/($AA351+SUMIF(WTG_BD!$F:$F,$A351,WTG_BD!$AA:$AA)),"")</f>
        <v/>
      </c>
      <c r="Q351" s="138" t="str">
        <f>IFERROR(1-SUMIF(IGA_BD!$F:$F,$A351,IGA_BD!$V:$V)/($AA351+SUMIF(IGA_BD!$F:$F,$A351,IGA_BD!$V:$V)),"")</f>
        <v/>
      </c>
      <c r="R351" s="143" t="str">
        <f>IFERROR(1-SUMIF(Grid_BD!$F:$F,$A351,Grid_BD!$X:$X)/($AA351+SUMIF(Grid_BD!$F:$F,$A351,Grid_BD!$X:$X)),"")</f>
        <v/>
      </c>
      <c r="S351" s="121"/>
      <c r="T351" s="138"/>
      <c r="U351" s="139"/>
      <c r="V351" s="121"/>
      <c r="W351" s="140" t="str">
        <f>IFERROR(Table13[[#This Row],[Mtr_Net_Exp (KWh)]]/(24*AR351*1000),"")</f>
        <v/>
      </c>
      <c r="X351" s="121" t="str">
        <f>IFERROR(_xlfn.XLOOKUP($A351,Input_Raw!$A:$A,Input_Raw!$CF:$CF),"")</f>
        <v/>
      </c>
      <c r="Y351" s="121" t="str">
        <f>IFERROR(_xlfn.XLOOKUP($A351,Input_Raw!$A:$A,Input_Raw!$CZ:$CZ),"")</f>
        <v/>
      </c>
      <c r="Z351" s="121" t="str">
        <f>IFERROR(_xlfn.XLOOKUP($A351,Input_Raw!$A:$A,Input_Raw!$DA:$DA),"")</f>
        <v/>
      </c>
      <c r="AA351" s="123" t="str">
        <f t="shared" si="35"/>
        <v/>
      </c>
      <c r="AB351" s="121" t="str">
        <f>IFERROR(_xlfn.XLOOKUP($A351,Input_Raw!$A:$A,Input_Raw!$DG:$DG),"")</f>
        <v/>
      </c>
      <c r="AC351" s="141">
        <f>IFERROR(_xlfn.XLOOKUP($D351,'Modelling New'!$D:$D,'Modelling New'!$J:$J),"")</f>
        <v>4.5999999999999996</v>
      </c>
      <c r="AD351" s="123">
        <f>IFERROR(_xlfn.XLOOKUP($D351,'Modelling New'!$D:$D,'Modelling New'!$T:$T)*1000,"")</f>
        <v>221156.23146397382</v>
      </c>
      <c r="AE351" s="140"/>
      <c r="AF351" s="140">
        <f>IFERROR(_xlfn.XLOOKUP($D351,'Modelling New'!$D:$D,'Modelling New'!$W:$W),"")</f>
        <v>0.11813901253417405</v>
      </c>
      <c r="AG351" s="140">
        <f>IFERROR(_xlfn.XLOOKUP($D351,'Modelling New'!$D:$D,'Modelling New'!$AE:$AE),"")</f>
        <v>0.96029999999999993</v>
      </c>
      <c r="AH351" s="140">
        <f>IFERROR(_xlfn.XLOOKUP($D351,'Modelling New'!$D:$D,'Modelling New'!$AF:$AF),"")</f>
        <v>0.995</v>
      </c>
      <c r="AI351" s="121" t="str">
        <f>IFERROR(_xlfn.XLOOKUP($A351,Input_Raw!$A:$A,Input_Raw!$DE:$DE),"")</f>
        <v/>
      </c>
      <c r="AJ351" s="121"/>
      <c r="AK351" s="121"/>
      <c r="AL351" s="121"/>
      <c r="AM351" s="121"/>
      <c r="AN351" s="142" t="str">
        <f>IFERROR(_xlfn.XLOOKUP($A351,Input_Raw!$A:$A,Input_Raw!$DB:$DB),"")</f>
        <v/>
      </c>
      <c r="AO351" s="140" t="str">
        <f>IFERROR((_xlfn.XLOOKUP($A351,'WTG Reactive Power'!$A:$A,'WTG Reactive Power'!$AR:$AR))/X351/1000,"")</f>
        <v/>
      </c>
      <c r="AP351" s="140">
        <f>IFERROR(_xlfn.XLOOKUP($D351,'Modelling New'!$D:$D,'Modelling New'!$AK:$AK),"")</f>
        <v>0.05</v>
      </c>
      <c r="AQ351" s="140">
        <f>IFERROR(_xlfn.XLOOKUP($D351,'Modelling New'!$D:$D,'Modelling New'!$AL:$AL),"")</f>
        <v>0.05</v>
      </c>
      <c r="AR351">
        <f>IFERROR(_xlfn.XLOOKUP($D351,'Modelling New'!$D:$D,'Modelling New'!$N:$N),"")</f>
        <v>78</v>
      </c>
    </row>
    <row r="352" spans="1:44">
      <c r="A352" s="134">
        <f t="shared" si="32"/>
        <v>46095</v>
      </c>
      <c r="B352" s="123">
        <f>YEAR(Table13[[#This Row],[Date]])+IF(MONTH(Table13[[#This Row],[Date]])&gt;=4,1,0)</f>
        <v>2026</v>
      </c>
      <c r="C352" s="121">
        <f>YEAR(Table13[[#This Row],[Date]])</f>
        <v>2026</v>
      </c>
      <c r="D352" s="135">
        <f>Table13[[#This Row],[Date]]-DAY(Table13[[#This Row],[Date]])+1</f>
        <v>46082</v>
      </c>
      <c r="E352" s="121">
        <f t="shared" si="33"/>
        <v>31</v>
      </c>
      <c r="F352" s="124"/>
      <c r="G352" s="125"/>
      <c r="H352" s="125"/>
      <c r="I352" s="125"/>
      <c r="J352" s="125"/>
      <c r="K352" s="136"/>
      <c r="L352" s="125"/>
      <c r="M352" s="125" t="str">
        <f>IFERROR(_xlfn.XLOOKUP($A352,Input_Raw!$A:$A,Input_Raw!CG:CG),"")</f>
        <v/>
      </c>
      <c r="N352" s="125" t="str">
        <f>IFERROR(_xlfn.XLOOKUP($A352,Input_Raw!$A:$A,Input_Raw!CH:CH),"")</f>
        <v/>
      </c>
      <c r="O352" s="137" t="str">
        <f t="shared" si="34"/>
        <v/>
      </c>
      <c r="P352" s="137" t="str">
        <f>IFERROR(1-SUMIF(WTG_BD!$F:$F,$A352,WTG_BD!$AA:$AA)/($AA352+SUMIF(WTG_BD!$F:$F,$A352,WTG_BD!$AA:$AA)),"")</f>
        <v/>
      </c>
      <c r="Q352" s="138" t="str">
        <f>IFERROR(1-SUMIF(IGA_BD!$F:$F,$A352,IGA_BD!$V:$V)/($AA352+SUMIF(IGA_BD!$F:$F,$A352,IGA_BD!$V:$V)),"")</f>
        <v/>
      </c>
      <c r="R352" s="143" t="str">
        <f>IFERROR(1-SUMIF(Grid_BD!$F:$F,$A352,Grid_BD!$X:$X)/($AA352+SUMIF(Grid_BD!$F:$F,$A352,Grid_BD!$X:$X)),"")</f>
        <v/>
      </c>
      <c r="S352" s="121"/>
      <c r="T352" s="138"/>
      <c r="U352" s="139"/>
      <c r="V352" s="121"/>
      <c r="W352" s="140" t="str">
        <f>IFERROR(Table13[[#This Row],[Mtr_Net_Exp (KWh)]]/(24*AR352*1000),"")</f>
        <v/>
      </c>
      <c r="X352" s="121" t="str">
        <f>IFERROR(_xlfn.XLOOKUP($A352,Input_Raw!$A:$A,Input_Raw!$CF:$CF),"")</f>
        <v/>
      </c>
      <c r="Y352" s="121" t="str">
        <f>IFERROR(_xlfn.XLOOKUP($A352,Input_Raw!$A:$A,Input_Raw!$CZ:$CZ),"")</f>
        <v/>
      </c>
      <c r="Z352" s="121" t="str">
        <f>IFERROR(_xlfn.XLOOKUP($A352,Input_Raw!$A:$A,Input_Raw!$DA:$DA),"")</f>
        <v/>
      </c>
      <c r="AA352" s="123" t="str">
        <f t="shared" si="35"/>
        <v/>
      </c>
      <c r="AB352" s="121" t="str">
        <f>IFERROR(_xlfn.XLOOKUP($A352,Input_Raw!$A:$A,Input_Raw!$DG:$DG),"")</f>
        <v/>
      </c>
      <c r="AC352" s="141">
        <f>IFERROR(_xlfn.XLOOKUP($D352,'Modelling New'!$D:$D,'Modelling New'!$J:$J),"")</f>
        <v>4.5999999999999996</v>
      </c>
      <c r="AD352" s="123">
        <f>IFERROR(_xlfn.XLOOKUP($D352,'Modelling New'!$D:$D,'Modelling New'!$T:$T)*1000,"")</f>
        <v>221156.23146397382</v>
      </c>
      <c r="AE352" s="140"/>
      <c r="AF352" s="140">
        <f>IFERROR(_xlfn.XLOOKUP($D352,'Modelling New'!$D:$D,'Modelling New'!$W:$W),"")</f>
        <v>0.11813901253417405</v>
      </c>
      <c r="AG352" s="140">
        <f>IFERROR(_xlfn.XLOOKUP($D352,'Modelling New'!$D:$D,'Modelling New'!$AE:$AE),"")</f>
        <v>0.96029999999999993</v>
      </c>
      <c r="AH352" s="140">
        <f>IFERROR(_xlfn.XLOOKUP($D352,'Modelling New'!$D:$D,'Modelling New'!$AF:$AF),"")</f>
        <v>0.995</v>
      </c>
      <c r="AI352" s="121" t="str">
        <f>IFERROR(_xlfn.XLOOKUP($A352,Input_Raw!$A:$A,Input_Raw!$DE:$DE),"")</f>
        <v/>
      </c>
      <c r="AJ352" s="121"/>
      <c r="AK352" s="121"/>
      <c r="AL352" s="121"/>
      <c r="AM352" s="121"/>
      <c r="AN352" s="142" t="str">
        <f>IFERROR(_xlfn.XLOOKUP($A352,Input_Raw!$A:$A,Input_Raw!$DB:$DB),"")</f>
        <v/>
      </c>
      <c r="AO352" s="140" t="str">
        <f>IFERROR((_xlfn.XLOOKUP($A352,'WTG Reactive Power'!$A:$A,'WTG Reactive Power'!$AR:$AR))/X352/1000,"")</f>
        <v/>
      </c>
      <c r="AP352" s="140">
        <f>IFERROR(_xlfn.XLOOKUP($D352,'Modelling New'!$D:$D,'Modelling New'!$AK:$AK),"")</f>
        <v>0.05</v>
      </c>
      <c r="AQ352" s="140">
        <f>IFERROR(_xlfn.XLOOKUP($D352,'Modelling New'!$D:$D,'Modelling New'!$AL:$AL),"")</f>
        <v>0.05</v>
      </c>
      <c r="AR352">
        <f>IFERROR(_xlfn.XLOOKUP($D352,'Modelling New'!$D:$D,'Modelling New'!$N:$N),"")</f>
        <v>78</v>
      </c>
    </row>
    <row r="353" spans="1:44">
      <c r="A353" s="134">
        <f t="shared" si="32"/>
        <v>46096</v>
      </c>
      <c r="B353" s="123">
        <f>YEAR(Table13[[#This Row],[Date]])+IF(MONTH(Table13[[#This Row],[Date]])&gt;=4,1,0)</f>
        <v>2026</v>
      </c>
      <c r="C353" s="121">
        <f>YEAR(Table13[[#This Row],[Date]])</f>
        <v>2026</v>
      </c>
      <c r="D353" s="135">
        <f>Table13[[#This Row],[Date]]-DAY(Table13[[#This Row],[Date]])+1</f>
        <v>46082</v>
      </c>
      <c r="E353" s="121">
        <f t="shared" si="33"/>
        <v>31</v>
      </c>
      <c r="F353" s="124"/>
      <c r="G353" s="125"/>
      <c r="H353" s="125"/>
      <c r="I353" s="125"/>
      <c r="J353" s="125"/>
      <c r="K353" s="136"/>
      <c r="L353" s="125"/>
      <c r="M353" s="125" t="str">
        <f>IFERROR(_xlfn.XLOOKUP($A353,Input_Raw!$A:$A,Input_Raw!CG:CG),"")</f>
        <v/>
      </c>
      <c r="N353" s="125" t="str">
        <f>IFERROR(_xlfn.XLOOKUP($A353,Input_Raw!$A:$A,Input_Raw!CH:CH),"")</f>
        <v/>
      </c>
      <c r="O353" s="137" t="str">
        <f t="shared" si="34"/>
        <v/>
      </c>
      <c r="P353" s="137" t="str">
        <f>IFERROR(1-SUMIF(WTG_BD!$F:$F,$A353,WTG_BD!$AA:$AA)/($AA353+SUMIF(WTG_BD!$F:$F,$A353,WTG_BD!$AA:$AA)),"")</f>
        <v/>
      </c>
      <c r="Q353" s="138" t="str">
        <f>IFERROR(1-SUMIF(IGA_BD!$F:$F,$A353,IGA_BD!$V:$V)/($AA353+SUMIF(IGA_BD!$F:$F,$A353,IGA_BD!$V:$V)),"")</f>
        <v/>
      </c>
      <c r="R353" s="143" t="str">
        <f>IFERROR(1-SUMIF(Grid_BD!$F:$F,$A353,Grid_BD!$X:$X)/($AA353+SUMIF(Grid_BD!$F:$F,$A353,Grid_BD!$X:$X)),"")</f>
        <v/>
      </c>
      <c r="S353" s="121"/>
      <c r="T353" s="138"/>
      <c r="U353" s="139"/>
      <c r="V353" s="121"/>
      <c r="W353" s="140" t="str">
        <f>IFERROR(Table13[[#This Row],[Mtr_Net_Exp (KWh)]]/(24*AR353*1000),"")</f>
        <v/>
      </c>
      <c r="X353" s="121" t="str">
        <f>IFERROR(_xlfn.XLOOKUP($A353,Input_Raw!$A:$A,Input_Raw!$CF:$CF),"")</f>
        <v/>
      </c>
      <c r="Y353" s="121" t="str">
        <f>IFERROR(_xlfn.XLOOKUP($A353,Input_Raw!$A:$A,Input_Raw!$CZ:$CZ),"")</f>
        <v/>
      </c>
      <c r="Z353" s="121" t="str">
        <f>IFERROR(_xlfn.XLOOKUP($A353,Input_Raw!$A:$A,Input_Raw!$DA:$DA),"")</f>
        <v/>
      </c>
      <c r="AA353" s="123" t="str">
        <f t="shared" si="35"/>
        <v/>
      </c>
      <c r="AB353" s="121" t="str">
        <f>IFERROR(_xlfn.XLOOKUP($A353,Input_Raw!$A:$A,Input_Raw!$DG:$DG),"")</f>
        <v/>
      </c>
      <c r="AC353" s="141">
        <f>IFERROR(_xlfn.XLOOKUP($D353,'Modelling New'!$D:$D,'Modelling New'!$J:$J),"")</f>
        <v>4.5999999999999996</v>
      </c>
      <c r="AD353" s="123">
        <f>IFERROR(_xlfn.XLOOKUP($D353,'Modelling New'!$D:$D,'Modelling New'!$T:$T)*1000,"")</f>
        <v>221156.23146397382</v>
      </c>
      <c r="AE353" s="140"/>
      <c r="AF353" s="140">
        <f>IFERROR(_xlfn.XLOOKUP($D353,'Modelling New'!$D:$D,'Modelling New'!$W:$W),"")</f>
        <v>0.11813901253417405</v>
      </c>
      <c r="AG353" s="140">
        <f>IFERROR(_xlfn.XLOOKUP($D353,'Modelling New'!$D:$D,'Modelling New'!$AE:$AE),"")</f>
        <v>0.96029999999999993</v>
      </c>
      <c r="AH353" s="140">
        <f>IFERROR(_xlfn.XLOOKUP($D353,'Modelling New'!$D:$D,'Modelling New'!$AF:$AF),"")</f>
        <v>0.995</v>
      </c>
      <c r="AI353" s="121" t="str">
        <f>IFERROR(_xlfn.XLOOKUP($A353,Input_Raw!$A:$A,Input_Raw!$DE:$DE),"")</f>
        <v/>
      </c>
      <c r="AJ353" s="121"/>
      <c r="AK353" s="121"/>
      <c r="AL353" s="121"/>
      <c r="AM353" s="121"/>
      <c r="AN353" s="142" t="str">
        <f>IFERROR(_xlfn.XLOOKUP($A353,Input_Raw!$A:$A,Input_Raw!$DB:$DB),"")</f>
        <v/>
      </c>
      <c r="AO353" s="140" t="str">
        <f>IFERROR((_xlfn.XLOOKUP($A353,'WTG Reactive Power'!$A:$A,'WTG Reactive Power'!$AR:$AR))/X353/1000,"")</f>
        <v/>
      </c>
      <c r="AP353" s="140">
        <f>IFERROR(_xlfn.XLOOKUP($D353,'Modelling New'!$D:$D,'Modelling New'!$AK:$AK),"")</f>
        <v>0.05</v>
      </c>
      <c r="AQ353" s="140">
        <f>IFERROR(_xlfn.XLOOKUP($D353,'Modelling New'!$D:$D,'Modelling New'!$AL:$AL),"")</f>
        <v>0.05</v>
      </c>
      <c r="AR353">
        <f>IFERROR(_xlfn.XLOOKUP($D353,'Modelling New'!$D:$D,'Modelling New'!$N:$N),"")</f>
        <v>78</v>
      </c>
    </row>
    <row r="354" spans="1:44">
      <c r="A354" s="134">
        <f t="shared" si="32"/>
        <v>46097</v>
      </c>
      <c r="B354" s="123">
        <f>YEAR(Table13[[#This Row],[Date]])+IF(MONTH(Table13[[#This Row],[Date]])&gt;=4,1,0)</f>
        <v>2026</v>
      </c>
      <c r="C354" s="121">
        <f>YEAR(Table13[[#This Row],[Date]])</f>
        <v>2026</v>
      </c>
      <c r="D354" s="135">
        <f>Table13[[#This Row],[Date]]-DAY(Table13[[#This Row],[Date]])+1</f>
        <v>46082</v>
      </c>
      <c r="E354" s="121">
        <f t="shared" si="33"/>
        <v>31</v>
      </c>
      <c r="F354" s="124"/>
      <c r="G354" s="125"/>
      <c r="H354" s="125"/>
      <c r="I354" s="125"/>
      <c r="J354" s="125"/>
      <c r="K354" s="136"/>
      <c r="L354" s="125"/>
      <c r="M354" s="125" t="str">
        <f>IFERROR(_xlfn.XLOOKUP($A354,Input_Raw!$A:$A,Input_Raw!CG:CG),"")</f>
        <v/>
      </c>
      <c r="N354" s="125" t="str">
        <f>IFERROR(_xlfn.XLOOKUP($A354,Input_Raw!$A:$A,Input_Raw!CH:CH),"")</f>
        <v/>
      </c>
      <c r="O354" s="137" t="str">
        <f t="shared" si="34"/>
        <v/>
      </c>
      <c r="P354" s="137" t="str">
        <f>IFERROR(1-SUMIF(WTG_BD!$F:$F,$A354,WTG_BD!$AA:$AA)/($AA354+SUMIF(WTG_BD!$F:$F,$A354,WTG_BD!$AA:$AA)),"")</f>
        <v/>
      </c>
      <c r="Q354" s="138" t="str">
        <f>IFERROR(1-SUMIF(IGA_BD!$F:$F,$A354,IGA_BD!$V:$V)/($AA354+SUMIF(IGA_BD!$F:$F,$A354,IGA_BD!$V:$V)),"")</f>
        <v/>
      </c>
      <c r="R354" s="143" t="str">
        <f>IFERROR(1-SUMIF(Grid_BD!$F:$F,$A354,Grid_BD!$X:$X)/($AA354+SUMIF(Grid_BD!$F:$F,$A354,Grid_BD!$X:$X)),"")</f>
        <v/>
      </c>
      <c r="S354" s="121"/>
      <c r="T354" s="138"/>
      <c r="U354" s="139"/>
      <c r="V354" s="121"/>
      <c r="W354" s="140" t="str">
        <f>IFERROR(Table13[[#This Row],[Mtr_Net_Exp (KWh)]]/(24*AR354*1000),"")</f>
        <v/>
      </c>
      <c r="X354" s="121" t="str">
        <f>IFERROR(_xlfn.XLOOKUP($A354,Input_Raw!$A:$A,Input_Raw!$CF:$CF),"")</f>
        <v/>
      </c>
      <c r="Y354" s="121" t="str">
        <f>IFERROR(_xlfn.XLOOKUP($A354,Input_Raw!$A:$A,Input_Raw!$CZ:$CZ),"")</f>
        <v/>
      </c>
      <c r="Z354" s="121" t="str">
        <f>IFERROR(_xlfn.XLOOKUP($A354,Input_Raw!$A:$A,Input_Raw!$DA:$DA),"")</f>
        <v/>
      </c>
      <c r="AA354" s="123" t="str">
        <f t="shared" si="35"/>
        <v/>
      </c>
      <c r="AB354" s="121" t="str">
        <f>IFERROR(_xlfn.XLOOKUP($A354,Input_Raw!$A:$A,Input_Raw!$DG:$DG),"")</f>
        <v/>
      </c>
      <c r="AC354" s="141">
        <f>IFERROR(_xlfn.XLOOKUP($D354,'Modelling New'!$D:$D,'Modelling New'!$J:$J),"")</f>
        <v>4.5999999999999996</v>
      </c>
      <c r="AD354" s="123">
        <f>IFERROR(_xlfn.XLOOKUP($D354,'Modelling New'!$D:$D,'Modelling New'!$T:$T)*1000,"")</f>
        <v>221156.23146397382</v>
      </c>
      <c r="AE354" s="140"/>
      <c r="AF354" s="140">
        <f>IFERROR(_xlfn.XLOOKUP($D354,'Modelling New'!$D:$D,'Modelling New'!$W:$W),"")</f>
        <v>0.11813901253417405</v>
      </c>
      <c r="AG354" s="140">
        <f>IFERROR(_xlfn.XLOOKUP($D354,'Modelling New'!$D:$D,'Modelling New'!$AE:$AE),"")</f>
        <v>0.96029999999999993</v>
      </c>
      <c r="AH354" s="140">
        <f>IFERROR(_xlfn.XLOOKUP($D354,'Modelling New'!$D:$D,'Modelling New'!$AF:$AF),"")</f>
        <v>0.995</v>
      </c>
      <c r="AI354" s="121" t="str">
        <f>IFERROR(_xlfn.XLOOKUP($A354,Input_Raw!$A:$A,Input_Raw!$DE:$DE),"")</f>
        <v/>
      </c>
      <c r="AJ354" s="121"/>
      <c r="AK354" s="121"/>
      <c r="AL354" s="121"/>
      <c r="AM354" s="121"/>
      <c r="AN354" s="142" t="str">
        <f>IFERROR(_xlfn.XLOOKUP($A354,Input_Raw!$A:$A,Input_Raw!$DB:$DB),"")</f>
        <v/>
      </c>
      <c r="AO354" s="140" t="str">
        <f>IFERROR((_xlfn.XLOOKUP($A354,'WTG Reactive Power'!$A:$A,'WTG Reactive Power'!$AR:$AR))/X354/1000,"")</f>
        <v/>
      </c>
      <c r="AP354" s="140">
        <f>IFERROR(_xlfn.XLOOKUP($D354,'Modelling New'!$D:$D,'Modelling New'!$AK:$AK),"")</f>
        <v>0.05</v>
      </c>
      <c r="AQ354" s="140">
        <f>IFERROR(_xlfn.XLOOKUP($D354,'Modelling New'!$D:$D,'Modelling New'!$AL:$AL),"")</f>
        <v>0.05</v>
      </c>
      <c r="AR354">
        <f>IFERROR(_xlfn.XLOOKUP($D354,'Modelling New'!$D:$D,'Modelling New'!$N:$N),"")</f>
        <v>78</v>
      </c>
    </row>
    <row r="355" spans="1:44">
      <c r="A355" s="134">
        <f t="shared" si="32"/>
        <v>46098</v>
      </c>
      <c r="B355" s="123">
        <f>YEAR(Table13[[#This Row],[Date]])+IF(MONTH(Table13[[#This Row],[Date]])&gt;=4,1,0)</f>
        <v>2026</v>
      </c>
      <c r="C355" s="121">
        <f>YEAR(Table13[[#This Row],[Date]])</f>
        <v>2026</v>
      </c>
      <c r="D355" s="135">
        <f>Table13[[#This Row],[Date]]-DAY(Table13[[#This Row],[Date]])+1</f>
        <v>46082</v>
      </c>
      <c r="E355" s="121">
        <f t="shared" si="33"/>
        <v>31</v>
      </c>
      <c r="F355" s="124"/>
      <c r="G355" s="125"/>
      <c r="H355" s="125"/>
      <c r="I355" s="125"/>
      <c r="J355" s="125"/>
      <c r="K355" s="136"/>
      <c r="L355" s="125"/>
      <c r="M355" s="125" t="str">
        <f>IFERROR(_xlfn.XLOOKUP($A355,Input_Raw!$A:$A,Input_Raw!CG:CG),"")</f>
        <v/>
      </c>
      <c r="N355" s="125" t="str">
        <f>IFERROR(_xlfn.XLOOKUP($A355,Input_Raw!$A:$A,Input_Raw!CH:CH),"")</f>
        <v/>
      </c>
      <c r="O355" s="137" t="str">
        <f t="shared" si="34"/>
        <v/>
      </c>
      <c r="P355" s="137" t="str">
        <f>IFERROR(1-SUMIF(WTG_BD!$F:$F,$A355,WTG_BD!$AA:$AA)/($AA355+SUMIF(WTG_BD!$F:$F,$A355,WTG_BD!$AA:$AA)),"")</f>
        <v/>
      </c>
      <c r="Q355" s="138" t="str">
        <f>IFERROR(1-SUMIF(IGA_BD!$F:$F,$A355,IGA_BD!$V:$V)/($AA355+SUMIF(IGA_BD!$F:$F,$A355,IGA_BD!$V:$V)),"")</f>
        <v/>
      </c>
      <c r="R355" s="143" t="str">
        <f>IFERROR(1-SUMIF(Grid_BD!$F:$F,$A355,Grid_BD!$X:$X)/($AA355+SUMIF(Grid_BD!$F:$F,$A355,Grid_BD!$X:$X)),"")</f>
        <v/>
      </c>
      <c r="S355" s="121"/>
      <c r="T355" s="138"/>
      <c r="U355" s="139"/>
      <c r="V355" s="121"/>
      <c r="W355" s="140" t="str">
        <f>IFERROR(Table13[[#This Row],[Mtr_Net_Exp (KWh)]]/(24*AR355*1000),"")</f>
        <v/>
      </c>
      <c r="X355" s="121" t="str">
        <f>IFERROR(_xlfn.XLOOKUP($A355,Input_Raw!$A:$A,Input_Raw!$CF:$CF),"")</f>
        <v/>
      </c>
      <c r="Y355" s="121" t="str">
        <f>IFERROR(_xlfn.XLOOKUP($A355,Input_Raw!$A:$A,Input_Raw!$CZ:$CZ),"")</f>
        <v/>
      </c>
      <c r="Z355" s="121" t="str">
        <f>IFERROR(_xlfn.XLOOKUP($A355,Input_Raw!$A:$A,Input_Raw!$DA:$DA),"")</f>
        <v/>
      </c>
      <c r="AA355" s="123" t="str">
        <f t="shared" si="35"/>
        <v/>
      </c>
      <c r="AB355" s="121" t="str">
        <f>IFERROR(_xlfn.XLOOKUP($A355,Input_Raw!$A:$A,Input_Raw!$DG:$DG),"")</f>
        <v/>
      </c>
      <c r="AC355" s="141">
        <f>IFERROR(_xlfn.XLOOKUP($D355,'Modelling New'!$D:$D,'Modelling New'!$J:$J),"")</f>
        <v>4.5999999999999996</v>
      </c>
      <c r="AD355" s="123">
        <f>IFERROR(_xlfn.XLOOKUP($D355,'Modelling New'!$D:$D,'Modelling New'!$T:$T)*1000,"")</f>
        <v>221156.23146397382</v>
      </c>
      <c r="AE355" s="140"/>
      <c r="AF355" s="140">
        <f>IFERROR(_xlfn.XLOOKUP($D355,'Modelling New'!$D:$D,'Modelling New'!$W:$W),"")</f>
        <v>0.11813901253417405</v>
      </c>
      <c r="AG355" s="140">
        <f>IFERROR(_xlfn.XLOOKUP($D355,'Modelling New'!$D:$D,'Modelling New'!$AE:$AE),"")</f>
        <v>0.96029999999999993</v>
      </c>
      <c r="AH355" s="140">
        <f>IFERROR(_xlfn.XLOOKUP($D355,'Modelling New'!$D:$D,'Modelling New'!$AF:$AF),"")</f>
        <v>0.995</v>
      </c>
      <c r="AI355" s="121" t="str">
        <f>IFERROR(_xlfn.XLOOKUP($A355,Input_Raw!$A:$A,Input_Raw!$DE:$DE),"")</f>
        <v/>
      </c>
      <c r="AJ355" s="121"/>
      <c r="AK355" s="121"/>
      <c r="AL355" s="121"/>
      <c r="AM355" s="121"/>
      <c r="AN355" s="142" t="str">
        <f>IFERROR(_xlfn.XLOOKUP($A355,Input_Raw!$A:$A,Input_Raw!$DB:$DB),"")</f>
        <v/>
      </c>
      <c r="AO355" s="140" t="str">
        <f>IFERROR((_xlfn.XLOOKUP($A355,'WTG Reactive Power'!$A:$A,'WTG Reactive Power'!$AR:$AR))/X355/1000,"")</f>
        <v/>
      </c>
      <c r="AP355" s="140">
        <f>IFERROR(_xlfn.XLOOKUP($D355,'Modelling New'!$D:$D,'Modelling New'!$AK:$AK),"")</f>
        <v>0.05</v>
      </c>
      <c r="AQ355" s="140">
        <f>IFERROR(_xlfn.XLOOKUP($D355,'Modelling New'!$D:$D,'Modelling New'!$AL:$AL),"")</f>
        <v>0.05</v>
      </c>
      <c r="AR355">
        <f>IFERROR(_xlfn.XLOOKUP($D355,'Modelling New'!$D:$D,'Modelling New'!$N:$N),"")</f>
        <v>78</v>
      </c>
    </row>
    <row r="356" spans="1:44">
      <c r="A356" s="134">
        <f t="shared" si="32"/>
        <v>46099</v>
      </c>
      <c r="B356" s="123">
        <f>YEAR(Table13[[#This Row],[Date]])+IF(MONTH(Table13[[#This Row],[Date]])&gt;=4,1,0)</f>
        <v>2026</v>
      </c>
      <c r="C356" s="121">
        <f>YEAR(Table13[[#This Row],[Date]])</f>
        <v>2026</v>
      </c>
      <c r="D356" s="135">
        <f>Table13[[#This Row],[Date]]-DAY(Table13[[#This Row],[Date]])+1</f>
        <v>46082</v>
      </c>
      <c r="E356" s="121">
        <f t="shared" si="33"/>
        <v>31</v>
      </c>
      <c r="F356" s="124"/>
      <c r="G356" s="125"/>
      <c r="H356" s="125"/>
      <c r="I356" s="125"/>
      <c r="J356" s="125"/>
      <c r="K356" s="136"/>
      <c r="L356" s="125"/>
      <c r="M356" s="125" t="str">
        <f>IFERROR(_xlfn.XLOOKUP($A356,Input_Raw!$A:$A,Input_Raw!CG:CG),"")</f>
        <v/>
      </c>
      <c r="N356" s="125" t="str">
        <f>IFERROR(_xlfn.XLOOKUP($A356,Input_Raw!$A:$A,Input_Raw!CH:CH),"")</f>
        <v/>
      </c>
      <c r="O356" s="137" t="str">
        <f t="shared" si="34"/>
        <v/>
      </c>
      <c r="P356" s="137" t="str">
        <f>IFERROR(1-SUMIF(WTG_BD!$F:$F,$A356,WTG_BD!$AA:$AA)/($AA356+SUMIF(WTG_BD!$F:$F,$A356,WTG_BD!$AA:$AA)),"")</f>
        <v/>
      </c>
      <c r="Q356" s="138" t="str">
        <f>IFERROR(1-SUMIF(IGA_BD!$F:$F,$A356,IGA_BD!$V:$V)/($AA356+SUMIF(IGA_BD!$F:$F,$A356,IGA_BD!$V:$V)),"")</f>
        <v/>
      </c>
      <c r="R356" s="143" t="str">
        <f>IFERROR(1-SUMIF(Grid_BD!$F:$F,$A356,Grid_BD!$X:$X)/($AA356+SUMIF(Grid_BD!$F:$F,$A356,Grid_BD!$X:$X)),"")</f>
        <v/>
      </c>
      <c r="S356" s="121"/>
      <c r="T356" s="138"/>
      <c r="U356" s="139"/>
      <c r="V356" s="121"/>
      <c r="W356" s="140" t="str">
        <f>IFERROR(Table13[[#This Row],[Mtr_Net_Exp (KWh)]]/(24*AR356*1000),"")</f>
        <v/>
      </c>
      <c r="X356" s="121" t="str">
        <f>IFERROR(_xlfn.XLOOKUP($A356,Input_Raw!$A:$A,Input_Raw!$CF:$CF),"")</f>
        <v/>
      </c>
      <c r="Y356" s="121" t="str">
        <f>IFERROR(_xlfn.XLOOKUP($A356,Input_Raw!$A:$A,Input_Raw!$CZ:$CZ),"")</f>
        <v/>
      </c>
      <c r="Z356" s="121" t="str">
        <f>IFERROR(_xlfn.XLOOKUP($A356,Input_Raw!$A:$A,Input_Raw!$DA:$DA),"")</f>
        <v/>
      </c>
      <c r="AA356" s="123" t="str">
        <f t="shared" si="35"/>
        <v/>
      </c>
      <c r="AB356" s="121" t="str">
        <f>IFERROR(_xlfn.XLOOKUP($A356,Input_Raw!$A:$A,Input_Raw!$DG:$DG),"")</f>
        <v/>
      </c>
      <c r="AC356" s="141">
        <f>IFERROR(_xlfn.XLOOKUP($D356,'Modelling New'!$D:$D,'Modelling New'!$J:$J),"")</f>
        <v>4.5999999999999996</v>
      </c>
      <c r="AD356" s="123">
        <f>IFERROR(_xlfn.XLOOKUP($D356,'Modelling New'!$D:$D,'Modelling New'!$T:$T)*1000,"")</f>
        <v>221156.23146397382</v>
      </c>
      <c r="AE356" s="140"/>
      <c r="AF356" s="140">
        <f>IFERROR(_xlfn.XLOOKUP($D356,'Modelling New'!$D:$D,'Modelling New'!$W:$W),"")</f>
        <v>0.11813901253417405</v>
      </c>
      <c r="AG356" s="140">
        <f>IFERROR(_xlfn.XLOOKUP($D356,'Modelling New'!$D:$D,'Modelling New'!$AE:$AE),"")</f>
        <v>0.96029999999999993</v>
      </c>
      <c r="AH356" s="140">
        <f>IFERROR(_xlfn.XLOOKUP($D356,'Modelling New'!$D:$D,'Modelling New'!$AF:$AF),"")</f>
        <v>0.995</v>
      </c>
      <c r="AI356" s="121" t="str">
        <f>IFERROR(_xlfn.XLOOKUP($A356,Input_Raw!$A:$A,Input_Raw!$DE:$DE),"")</f>
        <v/>
      </c>
      <c r="AJ356" s="121"/>
      <c r="AK356" s="121"/>
      <c r="AL356" s="121"/>
      <c r="AM356" s="121"/>
      <c r="AN356" s="142" t="str">
        <f>IFERROR(_xlfn.XLOOKUP($A356,Input_Raw!$A:$A,Input_Raw!$DB:$DB),"")</f>
        <v/>
      </c>
      <c r="AO356" s="140" t="str">
        <f>IFERROR((_xlfn.XLOOKUP($A356,'WTG Reactive Power'!$A:$A,'WTG Reactive Power'!$AR:$AR))/X356/1000,"")</f>
        <v/>
      </c>
      <c r="AP356" s="140">
        <f>IFERROR(_xlfn.XLOOKUP($D356,'Modelling New'!$D:$D,'Modelling New'!$AK:$AK),"")</f>
        <v>0.05</v>
      </c>
      <c r="AQ356" s="140">
        <f>IFERROR(_xlfn.XLOOKUP($D356,'Modelling New'!$D:$D,'Modelling New'!$AL:$AL),"")</f>
        <v>0.05</v>
      </c>
      <c r="AR356">
        <f>IFERROR(_xlfn.XLOOKUP($D356,'Modelling New'!$D:$D,'Modelling New'!$N:$N),"")</f>
        <v>78</v>
      </c>
    </row>
    <row r="357" spans="1:44">
      <c r="A357" s="134">
        <f t="shared" si="32"/>
        <v>46100</v>
      </c>
      <c r="B357" s="123">
        <f>YEAR(Table13[[#This Row],[Date]])+IF(MONTH(Table13[[#This Row],[Date]])&gt;=4,1,0)</f>
        <v>2026</v>
      </c>
      <c r="C357" s="121">
        <f>YEAR(Table13[[#This Row],[Date]])</f>
        <v>2026</v>
      </c>
      <c r="D357" s="135">
        <f>Table13[[#This Row],[Date]]-DAY(Table13[[#This Row],[Date]])+1</f>
        <v>46082</v>
      </c>
      <c r="E357" s="121">
        <f t="shared" ref="E357:E369" si="36">DAY(EOMONTH(A357,0))</f>
        <v>31</v>
      </c>
      <c r="F357" s="124"/>
      <c r="G357" s="125"/>
      <c r="H357" s="125"/>
      <c r="I357" s="125"/>
      <c r="J357" s="125"/>
      <c r="K357" s="136"/>
      <c r="L357" s="125"/>
      <c r="M357" s="125" t="str">
        <f>IFERROR(_xlfn.XLOOKUP($A357,Input_Raw!$A:$A,Input_Raw!CG:CG),"")</f>
        <v/>
      </c>
      <c r="N357" s="125" t="str">
        <f>IFERROR(_xlfn.XLOOKUP($A357,Input_Raw!$A:$A,Input_Raw!CH:CH),"")</f>
        <v/>
      </c>
      <c r="O357" s="137" t="str">
        <f t="shared" ref="O357:O369" si="37">IFERROR(P357*Q357,"")</f>
        <v/>
      </c>
      <c r="P357" s="137" t="str">
        <f>IFERROR(1-SUMIF(WTG_BD!$F:$F,$A357,WTG_BD!$AA:$AA)/($AA357+SUMIF(WTG_BD!$F:$F,$A357,WTG_BD!$AA:$AA)),"")</f>
        <v/>
      </c>
      <c r="Q357" s="138" t="str">
        <f>IFERROR(1-SUMIF(IGA_BD!$F:$F,$A357,IGA_BD!$V:$V)/($AA357+SUMIF(IGA_BD!$F:$F,$A357,IGA_BD!$V:$V)),"")</f>
        <v/>
      </c>
      <c r="R357" s="143" t="str">
        <f>IFERROR(1-SUMIF(Grid_BD!$F:$F,$A357,Grid_BD!$X:$X)/($AA357+SUMIF(Grid_BD!$F:$F,$A357,Grid_BD!$X:$X)),"")</f>
        <v/>
      </c>
      <c r="S357" s="121"/>
      <c r="T357" s="138"/>
      <c r="U357" s="139"/>
      <c r="V357" s="121"/>
      <c r="W357" s="140" t="str">
        <f>IFERROR(Table13[[#This Row],[Mtr_Net_Exp (KWh)]]/(24*AR357*1000),"")</f>
        <v/>
      </c>
      <c r="X357" s="121" t="str">
        <f>IFERROR(_xlfn.XLOOKUP($A357,Input_Raw!$A:$A,Input_Raw!$CF:$CF),"")</f>
        <v/>
      </c>
      <c r="Y357" s="121" t="str">
        <f>IFERROR(_xlfn.XLOOKUP($A357,Input_Raw!$A:$A,Input_Raw!$CZ:$CZ),"")</f>
        <v/>
      </c>
      <c r="Z357" s="121" t="str">
        <f>IFERROR(_xlfn.XLOOKUP($A357,Input_Raw!$A:$A,Input_Raw!$DA:$DA),"")</f>
        <v/>
      </c>
      <c r="AA357" s="123" t="str">
        <f t="shared" ref="AA357:AA369" si="38">IFERROR(Y357-Z357,"")</f>
        <v/>
      </c>
      <c r="AB357" s="121" t="str">
        <f>IFERROR(_xlfn.XLOOKUP($A357,Input_Raw!$A:$A,Input_Raw!$DG:$DG),"")</f>
        <v/>
      </c>
      <c r="AC357" s="141">
        <f>IFERROR(_xlfn.XLOOKUP($D357,'Modelling New'!$D:$D,'Modelling New'!$J:$J),"")</f>
        <v>4.5999999999999996</v>
      </c>
      <c r="AD357" s="123">
        <f>IFERROR(_xlfn.XLOOKUP($D357,'Modelling New'!$D:$D,'Modelling New'!$T:$T)*1000,"")</f>
        <v>221156.23146397382</v>
      </c>
      <c r="AE357" s="140"/>
      <c r="AF357" s="140">
        <f>IFERROR(_xlfn.XLOOKUP($D357,'Modelling New'!$D:$D,'Modelling New'!$W:$W),"")</f>
        <v>0.11813901253417405</v>
      </c>
      <c r="AG357" s="140">
        <f>IFERROR(_xlfn.XLOOKUP($D357,'Modelling New'!$D:$D,'Modelling New'!$AE:$AE),"")</f>
        <v>0.96029999999999993</v>
      </c>
      <c r="AH357" s="140">
        <f>IFERROR(_xlfn.XLOOKUP($D357,'Modelling New'!$D:$D,'Modelling New'!$AF:$AF),"")</f>
        <v>0.995</v>
      </c>
      <c r="AI357" s="121" t="str">
        <f>IFERROR(_xlfn.XLOOKUP($A357,Input_Raw!$A:$A,Input_Raw!$DE:$DE),"")</f>
        <v/>
      </c>
      <c r="AJ357" s="121"/>
      <c r="AK357" s="121"/>
      <c r="AL357" s="121"/>
      <c r="AM357" s="121"/>
      <c r="AN357" s="142" t="str">
        <f>IFERROR(_xlfn.XLOOKUP($A357,Input_Raw!$A:$A,Input_Raw!$DB:$DB),"")</f>
        <v/>
      </c>
      <c r="AO357" s="140" t="str">
        <f>IFERROR((_xlfn.XLOOKUP($A357,'WTG Reactive Power'!$A:$A,'WTG Reactive Power'!$AR:$AR))/X357/1000,"")</f>
        <v/>
      </c>
      <c r="AP357" s="140">
        <f>IFERROR(_xlfn.XLOOKUP($D357,'Modelling New'!$D:$D,'Modelling New'!$AK:$AK),"")</f>
        <v>0.05</v>
      </c>
      <c r="AQ357" s="140">
        <f>IFERROR(_xlfn.XLOOKUP($D357,'Modelling New'!$D:$D,'Modelling New'!$AL:$AL),"")</f>
        <v>0.05</v>
      </c>
      <c r="AR357">
        <f>IFERROR(_xlfn.XLOOKUP($D357,'Modelling New'!$D:$D,'Modelling New'!$N:$N),"")</f>
        <v>78</v>
      </c>
    </row>
    <row r="358" spans="1:44">
      <c r="A358" s="134">
        <f t="shared" ref="A358:A369" si="39">A357+1</f>
        <v>46101</v>
      </c>
      <c r="B358" s="123">
        <f>YEAR(Table13[[#This Row],[Date]])+IF(MONTH(Table13[[#This Row],[Date]])&gt;=4,1,0)</f>
        <v>2026</v>
      </c>
      <c r="C358" s="121">
        <f>YEAR(Table13[[#This Row],[Date]])</f>
        <v>2026</v>
      </c>
      <c r="D358" s="135">
        <f>Table13[[#This Row],[Date]]-DAY(Table13[[#This Row],[Date]])+1</f>
        <v>46082</v>
      </c>
      <c r="E358" s="121">
        <f t="shared" si="36"/>
        <v>31</v>
      </c>
      <c r="F358" s="124"/>
      <c r="G358" s="125"/>
      <c r="H358" s="125"/>
      <c r="I358" s="125"/>
      <c r="J358" s="125"/>
      <c r="K358" s="136"/>
      <c r="L358" s="125"/>
      <c r="M358" s="125" t="str">
        <f>IFERROR(_xlfn.XLOOKUP($A358,Input_Raw!$A:$A,Input_Raw!CG:CG),"")</f>
        <v/>
      </c>
      <c r="N358" s="125" t="str">
        <f>IFERROR(_xlfn.XLOOKUP($A358,Input_Raw!$A:$A,Input_Raw!CH:CH),"")</f>
        <v/>
      </c>
      <c r="O358" s="137" t="str">
        <f t="shared" si="37"/>
        <v/>
      </c>
      <c r="P358" s="137" t="str">
        <f>IFERROR(1-SUMIF(WTG_BD!$F:$F,$A358,WTG_BD!$AA:$AA)/($AA358+SUMIF(WTG_BD!$F:$F,$A358,WTG_BD!$AA:$AA)),"")</f>
        <v/>
      </c>
      <c r="Q358" s="138" t="str">
        <f>IFERROR(1-SUMIF(IGA_BD!$F:$F,$A358,IGA_BD!$V:$V)/($AA358+SUMIF(IGA_BD!$F:$F,$A358,IGA_BD!$V:$V)),"")</f>
        <v/>
      </c>
      <c r="R358" s="143" t="str">
        <f>IFERROR(1-SUMIF(Grid_BD!$F:$F,$A358,Grid_BD!$X:$X)/($AA358+SUMIF(Grid_BD!$F:$F,$A358,Grid_BD!$X:$X)),"")</f>
        <v/>
      </c>
      <c r="S358" s="121"/>
      <c r="T358" s="138"/>
      <c r="U358" s="139"/>
      <c r="V358" s="121"/>
      <c r="W358" s="140" t="str">
        <f>IFERROR(Table13[[#This Row],[Mtr_Net_Exp (KWh)]]/(24*AR358*1000),"")</f>
        <v/>
      </c>
      <c r="X358" s="121" t="str">
        <f>IFERROR(_xlfn.XLOOKUP($A358,Input_Raw!$A:$A,Input_Raw!$CF:$CF),"")</f>
        <v/>
      </c>
      <c r="Y358" s="121" t="str">
        <f>IFERROR(_xlfn.XLOOKUP($A358,Input_Raw!$A:$A,Input_Raw!$CZ:$CZ),"")</f>
        <v/>
      </c>
      <c r="Z358" s="121" t="str">
        <f>IFERROR(_xlfn.XLOOKUP($A358,Input_Raw!$A:$A,Input_Raw!$DA:$DA),"")</f>
        <v/>
      </c>
      <c r="AA358" s="123" t="str">
        <f t="shared" si="38"/>
        <v/>
      </c>
      <c r="AB358" s="121" t="str">
        <f>IFERROR(_xlfn.XLOOKUP($A358,Input_Raw!$A:$A,Input_Raw!$DG:$DG),"")</f>
        <v/>
      </c>
      <c r="AC358" s="141">
        <f>IFERROR(_xlfn.XLOOKUP($D358,'Modelling New'!$D:$D,'Modelling New'!$J:$J),"")</f>
        <v>4.5999999999999996</v>
      </c>
      <c r="AD358" s="123">
        <f>IFERROR(_xlfn.XLOOKUP($D358,'Modelling New'!$D:$D,'Modelling New'!$T:$T)*1000,"")</f>
        <v>221156.23146397382</v>
      </c>
      <c r="AE358" s="140"/>
      <c r="AF358" s="140">
        <f>IFERROR(_xlfn.XLOOKUP($D358,'Modelling New'!$D:$D,'Modelling New'!$W:$W),"")</f>
        <v>0.11813901253417405</v>
      </c>
      <c r="AG358" s="140">
        <f>IFERROR(_xlfn.XLOOKUP($D358,'Modelling New'!$D:$D,'Modelling New'!$AE:$AE),"")</f>
        <v>0.96029999999999993</v>
      </c>
      <c r="AH358" s="140">
        <f>IFERROR(_xlfn.XLOOKUP($D358,'Modelling New'!$D:$D,'Modelling New'!$AF:$AF),"")</f>
        <v>0.995</v>
      </c>
      <c r="AI358" s="121" t="str">
        <f>IFERROR(_xlfn.XLOOKUP($A358,Input_Raw!$A:$A,Input_Raw!$DE:$DE),"")</f>
        <v/>
      </c>
      <c r="AJ358" s="121"/>
      <c r="AK358" s="121"/>
      <c r="AL358" s="121"/>
      <c r="AM358" s="121"/>
      <c r="AN358" s="142" t="str">
        <f>IFERROR(_xlfn.XLOOKUP($A358,Input_Raw!$A:$A,Input_Raw!$DB:$DB),"")</f>
        <v/>
      </c>
      <c r="AO358" s="140" t="str">
        <f>IFERROR((_xlfn.XLOOKUP($A358,'WTG Reactive Power'!$A:$A,'WTG Reactive Power'!$AR:$AR))/X358/1000,"")</f>
        <v/>
      </c>
      <c r="AP358" s="140">
        <f>IFERROR(_xlfn.XLOOKUP($D358,'Modelling New'!$D:$D,'Modelling New'!$AK:$AK),"")</f>
        <v>0.05</v>
      </c>
      <c r="AQ358" s="140">
        <f>IFERROR(_xlfn.XLOOKUP($D358,'Modelling New'!$D:$D,'Modelling New'!$AL:$AL),"")</f>
        <v>0.05</v>
      </c>
      <c r="AR358">
        <f>IFERROR(_xlfn.XLOOKUP($D358,'Modelling New'!$D:$D,'Modelling New'!$N:$N),"")</f>
        <v>78</v>
      </c>
    </row>
    <row r="359" spans="1:44">
      <c r="A359" s="134">
        <f t="shared" si="39"/>
        <v>46102</v>
      </c>
      <c r="B359" s="123">
        <f>YEAR(Table13[[#This Row],[Date]])+IF(MONTH(Table13[[#This Row],[Date]])&gt;=4,1,0)</f>
        <v>2026</v>
      </c>
      <c r="C359" s="121">
        <f>YEAR(Table13[[#This Row],[Date]])</f>
        <v>2026</v>
      </c>
      <c r="D359" s="135">
        <f>Table13[[#This Row],[Date]]-DAY(Table13[[#This Row],[Date]])+1</f>
        <v>46082</v>
      </c>
      <c r="E359" s="121">
        <f t="shared" si="36"/>
        <v>31</v>
      </c>
      <c r="F359" s="124"/>
      <c r="G359" s="125"/>
      <c r="H359" s="125"/>
      <c r="I359" s="125"/>
      <c r="J359" s="125"/>
      <c r="K359" s="136"/>
      <c r="L359" s="125"/>
      <c r="M359" s="125" t="str">
        <f>IFERROR(_xlfn.XLOOKUP($A359,Input_Raw!$A:$A,Input_Raw!CG:CG),"")</f>
        <v/>
      </c>
      <c r="N359" s="125" t="str">
        <f>IFERROR(_xlfn.XLOOKUP($A359,Input_Raw!$A:$A,Input_Raw!CH:CH),"")</f>
        <v/>
      </c>
      <c r="O359" s="137" t="str">
        <f t="shared" si="37"/>
        <v/>
      </c>
      <c r="P359" s="137" t="str">
        <f>IFERROR(1-SUMIF(WTG_BD!$F:$F,$A359,WTG_BD!$AA:$AA)/($AA359+SUMIF(WTG_BD!$F:$F,$A359,WTG_BD!$AA:$AA)),"")</f>
        <v/>
      </c>
      <c r="Q359" s="138" t="str">
        <f>IFERROR(1-SUMIF(IGA_BD!$F:$F,$A359,IGA_BD!$V:$V)/($AA359+SUMIF(IGA_BD!$F:$F,$A359,IGA_BD!$V:$V)),"")</f>
        <v/>
      </c>
      <c r="R359" s="143" t="str">
        <f>IFERROR(1-SUMIF(Grid_BD!$F:$F,$A359,Grid_BD!$X:$X)/($AA359+SUMIF(Grid_BD!$F:$F,$A359,Grid_BD!$X:$X)),"")</f>
        <v/>
      </c>
      <c r="S359" s="121"/>
      <c r="T359" s="138"/>
      <c r="U359" s="139"/>
      <c r="V359" s="121"/>
      <c r="W359" s="140" t="str">
        <f>IFERROR(Table13[[#This Row],[Mtr_Net_Exp (KWh)]]/(24*AR359*1000),"")</f>
        <v/>
      </c>
      <c r="X359" s="121" t="str">
        <f>IFERROR(_xlfn.XLOOKUP($A359,Input_Raw!$A:$A,Input_Raw!$CF:$CF),"")</f>
        <v/>
      </c>
      <c r="Y359" s="121" t="str">
        <f>IFERROR(_xlfn.XLOOKUP($A359,Input_Raw!$A:$A,Input_Raw!$CZ:$CZ),"")</f>
        <v/>
      </c>
      <c r="Z359" s="121" t="str">
        <f>IFERROR(_xlfn.XLOOKUP($A359,Input_Raw!$A:$A,Input_Raw!$DA:$DA),"")</f>
        <v/>
      </c>
      <c r="AA359" s="123" t="str">
        <f t="shared" si="38"/>
        <v/>
      </c>
      <c r="AB359" s="121" t="str">
        <f>IFERROR(_xlfn.XLOOKUP($A359,Input_Raw!$A:$A,Input_Raw!$DG:$DG),"")</f>
        <v/>
      </c>
      <c r="AC359" s="141">
        <f>IFERROR(_xlfn.XLOOKUP($D359,'Modelling New'!$D:$D,'Modelling New'!$J:$J),"")</f>
        <v>4.5999999999999996</v>
      </c>
      <c r="AD359" s="123">
        <f>IFERROR(_xlfn.XLOOKUP($D359,'Modelling New'!$D:$D,'Modelling New'!$T:$T)*1000,"")</f>
        <v>221156.23146397382</v>
      </c>
      <c r="AE359" s="140"/>
      <c r="AF359" s="140">
        <f>IFERROR(_xlfn.XLOOKUP($D359,'Modelling New'!$D:$D,'Modelling New'!$W:$W),"")</f>
        <v>0.11813901253417405</v>
      </c>
      <c r="AG359" s="140">
        <f>IFERROR(_xlfn.XLOOKUP($D359,'Modelling New'!$D:$D,'Modelling New'!$AE:$AE),"")</f>
        <v>0.96029999999999993</v>
      </c>
      <c r="AH359" s="140">
        <f>IFERROR(_xlfn.XLOOKUP($D359,'Modelling New'!$D:$D,'Modelling New'!$AF:$AF),"")</f>
        <v>0.995</v>
      </c>
      <c r="AI359" s="121" t="str">
        <f>IFERROR(_xlfn.XLOOKUP($A359,Input_Raw!$A:$A,Input_Raw!$DE:$DE),"")</f>
        <v/>
      </c>
      <c r="AJ359" s="121"/>
      <c r="AK359" s="121"/>
      <c r="AL359" s="121"/>
      <c r="AM359" s="121"/>
      <c r="AN359" s="142" t="str">
        <f>IFERROR(_xlfn.XLOOKUP($A359,Input_Raw!$A:$A,Input_Raw!$DB:$DB),"")</f>
        <v/>
      </c>
      <c r="AO359" s="140" t="str">
        <f>IFERROR((_xlfn.XLOOKUP($A359,'WTG Reactive Power'!$A:$A,'WTG Reactive Power'!$AR:$AR))/X359/1000,"")</f>
        <v/>
      </c>
      <c r="AP359" s="140">
        <f>IFERROR(_xlfn.XLOOKUP($D359,'Modelling New'!$D:$D,'Modelling New'!$AK:$AK),"")</f>
        <v>0.05</v>
      </c>
      <c r="AQ359" s="140">
        <f>IFERROR(_xlfn.XLOOKUP($D359,'Modelling New'!$D:$D,'Modelling New'!$AL:$AL),"")</f>
        <v>0.05</v>
      </c>
      <c r="AR359">
        <f>IFERROR(_xlfn.XLOOKUP($D359,'Modelling New'!$D:$D,'Modelling New'!$N:$N),"")</f>
        <v>78</v>
      </c>
    </row>
    <row r="360" spans="1:44">
      <c r="A360" s="134">
        <f t="shared" si="39"/>
        <v>46103</v>
      </c>
      <c r="B360" s="123">
        <f>YEAR(Table13[[#This Row],[Date]])+IF(MONTH(Table13[[#This Row],[Date]])&gt;=4,1,0)</f>
        <v>2026</v>
      </c>
      <c r="C360" s="121">
        <f>YEAR(Table13[[#This Row],[Date]])</f>
        <v>2026</v>
      </c>
      <c r="D360" s="135">
        <f>Table13[[#This Row],[Date]]-DAY(Table13[[#This Row],[Date]])+1</f>
        <v>46082</v>
      </c>
      <c r="E360" s="121">
        <f t="shared" si="36"/>
        <v>31</v>
      </c>
      <c r="F360" s="124"/>
      <c r="G360" s="125"/>
      <c r="H360" s="125"/>
      <c r="I360" s="125"/>
      <c r="J360" s="125"/>
      <c r="K360" s="136"/>
      <c r="L360" s="125"/>
      <c r="M360" s="125" t="str">
        <f>IFERROR(_xlfn.XLOOKUP($A360,Input_Raw!$A:$A,Input_Raw!CG:CG),"")</f>
        <v/>
      </c>
      <c r="N360" s="125" t="str">
        <f>IFERROR(_xlfn.XLOOKUP($A360,Input_Raw!$A:$A,Input_Raw!CH:CH),"")</f>
        <v/>
      </c>
      <c r="O360" s="137" t="str">
        <f t="shared" si="37"/>
        <v/>
      </c>
      <c r="P360" s="137" t="str">
        <f>IFERROR(1-SUMIF(WTG_BD!$F:$F,$A360,WTG_BD!$AA:$AA)/($AA360+SUMIF(WTG_BD!$F:$F,$A360,WTG_BD!$AA:$AA)),"")</f>
        <v/>
      </c>
      <c r="Q360" s="138" t="str">
        <f>IFERROR(1-SUMIF(IGA_BD!$F:$F,$A360,IGA_BD!$V:$V)/($AA360+SUMIF(IGA_BD!$F:$F,$A360,IGA_BD!$V:$V)),"")</f>
        <v/>
      </c>
      <c r="R360" s="143" t="str">
        <f>IFERROR(1-SUMIF(Grid_BD!$F:$F,$A360,Grid_BD!$X:$X)/($AA360+SUMIF(Grid_BD!$F:$F,$A360,Grid_BD!$X:$X)),"")</f>
        <v/>
      </c>
      <c r="S360" s="121"/>
      <c r="T360" s="138"/>
      <c r="U360" s="139"/>
      <c r="V360" s="121"/>
      <c r="W360" s="140" t="str">
        <f>IFERROR(Table13[[#This Row],[Mtr_Net_Exp (KWh)]]/(24*AR360*1000),"")</f>
        <v/>
      </c>
      <c r="X360" s="121" t="str">
        <f>IFERROR(_xlfn.XLOOKUP($A360,Input_Raw!$A:$A,Input_Raw!$CF:$CF),"")</f>
        <v/>
      </c>
      <c r="Y360" s="121" t="str">
        <f>IFERROR(_xlfn.XLOOKUP($A360,Input_Raw!$A:$A,Input_Raw!$CZ:$CZ),"")</f>
        <v/>
      </c>
      <c r="Z360" s="121" t="str">
        <f>IFERROR(_xlfn.XLOOKUP($A360,Input_Raw!$A:$A,Input_Raw!$DA:$DA),"")</f>
        <v/>
      </c>
      <c r="AA360" s="123" t="str">
        <f t="shared" si="38"/>
        <v/>
      </c>
      <c r="AB360" s="121" t="str">
        <f>IFERROR(_xlfn.XLOOKUP($A360,Input_Raw!$A:$A,Input_Raw!$DG:$DG),"")</f>
        <v/>
      </c>
      <c r="AC360" s="141">
        <f>IFERROR(_xlfn.XLOOKUP($D360,'Modelling New'!$D:$D,'Modelling New'!$J:$J),"")</f>
        <v>4.5999999999999996</v>
      </c>
      <c r="AD360" s="123">
        <f>IFERROR(_xlfn.XLOOKUP($D360,'Modelling New'!$D:$D,'Modelling New'!$T:$T)*1000,"")</f>
        <v>221156.23146397382</v>
      </c>
      <c r="AE360" s="140"/>
      <c r="AF360" s="140">
        <f>IFERROR(_xlfn.XLOOKUP($D360,'Modelling New'!$D:$D,'Modelling New'!$W:$W),"")</f>
        <v>0.11813901253417405</v>
      </c>
      <c r="AG360" s="140">
        <f>IFERROR(_xlfn.XLOOKUP($D360,'Modelling New'!$D:$D,'Modelling New'!$AE:$AE),"")</f>
        <v>0.96029999999999993</v>
      </c>
      <c r="AH360" s="140">
        <f>IFERROR(_xlfn.XLOOKUP($D360,'Modelling New'!$D:$D,'Modelling New'!$AF:$AF),"")</f>
        <v>0.995</v>
      </c>
      <c r="AI360" s="121" t="str">
        <f>IFERROR(_xlfn.XLOOKUP($A360,Input_Raw!$A:$A,Input_Raw!$DE:$DE),"")</f>
        <v/>
      </c>
      <c r="AJ360" s="121"/>
      <c r="AK360" s="121"/>
      <c r="AL360" s="121"/>
      <c r="AM360" s="121"/>
      <c r="AN360" s="142" t="str">
        <f>IFERROR(_xlfn.XLOOKUP($A360,Input_Raw!$A:$A,Input_Raw!$DB:$DB),"")</f>
        <v/>
      </c>
      <c r="AO360" s="140" t="str">
        <f>IFERROR((_xlfn.XLOOKUP($A360,'WTG Reactive Power'!$A:$A,'WTG Reactive Power'!$AR:$AR))/X360/1000,"")</f>
        <v/>
      </c>
      <c r="AP360" s="140">
        <f>IFERROR(_xlfn.XLOOKUP($D360,'Modelling New'!$D:$D,'Modelling New'!$AK:$AK),"")</f>
        <v>0.05</v>
      </c>
      <c r="AQ360" s="140">
        <f>IFERROR(_xlfn.XLOOKUP($D360,'Modelling New'!$D:$D,'Modelling New'!$AL:$AL),"")</f>
        <v>0.05</v>
      </c>
      <c r="AR360">
        <f>IFERROR(_xlfn.XLOOKUP($D360,'Modelling New'!$D:$D,'Modelling New'!$N:$N),"")</f>
        <v>78</v>
      </c>
    </row>
    <row r="361" spans="1:44">
      <c r="A361" s="134">
        <f t="shared" si="39"/>
        <v>46104</v>
      </c>
      <c r="B361" s="123">
        <f>YEAR(Table13[[#This Row],[Date]])+IF(MONTH(Table13[[#This Row],[Date]])&gt;=4,1,0)</f>
        <v>2026</v>
      </c>
      <c r="C361" s="121">
        <f>YEAR(Table13[[#This Row],[Date]])</f>
        <v>2026</v>
      </c>
      <c r="D361" s="135">
        <f>Table13[[#This Row],[Date]]-DAY(Table13[[#This Row],[Date]])+1</f>
        <v>46082</v>
      </c>
      <c r="E361" s="121">
        <f t="shared" si="36"/>
        <v>31</v>
      </c>
      <c r="F361" s="124"/>
      <c r="G361" s="125"/>
      <c r="H361" s="125"/>
      <c r="I361" s="125"/>
      <c r="J361" s="125"/>
      <c r="K361" s="136"/>
      <c r="L361" s="125"/>
      <c r="M361" s="125" t="str">
        <f>IFERROR(_xlfn.XLOOKUP($A361,Input_Raw!$A:$A,Input_Raw!CG:CG),"")</f>
        <v/>
      </c>
      <c r="N361" s="125" t="str">
        <f>IFERROR(_xlfn.XLOOKUP($A361,Input_Raw!$A:$A,Input_Raw!CH:CH),"")</f>
        <v/>
      </c>
      <c r="O361" s="137" t="str">
        <f t="shared" si="37"/>
        <v/>
      </c>
      <c r="P361" s="137" t="str">
        <f>IFERROR(1-SUMIF(WTG_BD!$F:$F,$A361,WTG_BD!$AA:$AA)/($AA361+SUMIF(WTG_BD!$F:$F,$A361,WTG_BD!$AA:$AA)),"")</f>
        <v/>
      </c>
      <c r="Q361" s="138" t="str">
        <f>IFERROR(1-SUMIF(IGA_BD!$F:$F,$A361,IGA_BD!$V:$V)/($AA361+SUMIF(IGA_BD!$F:$F,$A361,IGA_BD!$V:$V)),"")</f>
        <v/>
      </c>
      <c r="R361" s="143" t="str">
        <f>IFERROR(1-SUMIF(Grid_BD!$F:$F,$A361,Grid_BD!$X:$X)/($AA361+SUMIF(Grid_BD!$F:$F,$A361,Grid_BD!$X:$X)),"")</f>
        <v/>
      </c>
      <c r="S361" s="121"/>
      <c r="T361" s="138"/>
      <c r="U361" s="139"/>
      <c r="V361" s="121"/>
      <c r="W361" s="140" t="str">
        <f>IFERROR(Table13[[#This Row],[Mtr_Net_Exp (KWh)]]/(24*AR361*1000),"")</f>
        <v/>
      </c>
      <c r="X361" s="121" t="str">
        <f>IFERROR(_xlfn.XLOOKUP($A361,Input_Raw!$A:$A,Input_Raw!$CF:$CF),"")</f>
        <v/>
      </c>
      <c r="Y361" s="121" t="str">
        <f>IFERROR(_xlfn.XLOOKUP($A361,Input_Raw!$A:$A,Input_Raw!$CZ:$CZ),"")</f>
        <v/>
      </c>
      <c r="Z361" s="121" t="str">
        <f>IFERROR(_xlfn.XLOOKUP($A361,Input_Raw!$A:$A,Input_Raw!$DA:$DA),"")</f>
        <v/>
      </c>
      <c r="AA361" s="123" t="str">
        <f t="shared" si="38"/>
        <v/>
      </c>
      <c r="AB361" s="121" t="str">
        <f>IFERROR(_xlfn.XLOOKUP($A361,Input_Raw!$A:$A,Input_Raw!$DG:$DG),"")</f>
        <v/>
      </c>
      <c r="AC361" s="141">
        <f>IFERROR(_xlfn.XLOOKUP($D361,'Modelling New'!$D:$D,'Modelling New'!$J:$J),"")</f>
        <v>4.5999999999999996</v>
      </c>
      <c r="AD361" s="123">
        <f>IFERROR(_xlfn.XLOOKUP($D361,'Modelling New'!$D:$D,'Modelling New'!$T:$T)*1000,"")</f>
        <v>221156.23146397382</v>
      </c>
      <c r="AE361" s="140"/>
      <c r="AF361" s="140">
        <f>IFERROR(_xlfn.XLOOKUP($D361,'Modelling New'!$D:$D,'Modelling New'!$W:$W),"")</f>
        <v>0.11813901253417405</v>
      </c>
      <c r="AG361" s="140">
        <f>IFERROR(_xlfn.XLOOKUP($D361,'Modelling New'!$D:$D,'Modelling New'!$AE:$AE),"")</f>
        <v>0.96029999999999993</v>
      </c>
      <c r="AH361" s="140">
        <f>IFERROR(_xlfn.XLOOKUP($D361,'Modelling New'!$D:$D,'Modelling New'!$AF:$AF),"")</f>
        <v>0.995</v>
      </c>
      <c r="AI361" s="121" t="str">
        <f>IFERROR(_xlfn.XLOOKUP($A361,Input_Raw!$A:$A,Input_Raw!$DE:$DE),"")</f>
        <v/>
      </c>
      <c r="AJ361" s="121"/>
      <c r="AK361" s="121"/>
      <c r="AL361" s="121"/>
      <c r="AM361" s="121"/>
      <c r="AN361" s="142" t="str">
        <f>IFERROR(_xlfn.XLOOKUP($A361,Input_Raw!$A:$A,Input_Raw!$DB:$DB),"")</f>
        <v/>
      </c>
      <c r="AO361" s="140" t="str">
        <f>IFERROR((_xlfn.XLOOKUP($A361,'WTG Reactive Power'!$A:$A,'WTG Reactive Power'!$AR:$AR))/X361/1000,"")</f>
        <v/>
      </c>
      <c r="AP361" s="140">
        <f>IFERROR(_xlfn.XLOOKUP($D361,'Modelling New'!$D:$D,'Modelling New'!$AK:$AK),"")</f>
        <v>0.05</v>
      </c>
      <c r="AQ361" s="140">
        <f>IFERROR(_xlfn.XLOOKUP($D361,'Modelling New'!$D:$D,'Modelling New'!$AL:$AL),"")</f>
        <v>0.05</v>
      </c>
      <c r="AR361">
        <f>IFERROR(_xlfn.XLOOKUP($D361,'Modelling New'!$D:$D,'Modelling New'!$N:$N),"")</f>
        <v>78</v>
      </c>
    </row>
    <row r="362" spans="1:44">
      <c r="A362" s="134">
        <f t="shared" si="39"/>
        <v>46105</v>
      </c>
      <c r="B362" s="123">
        <f>YEAR(Table13[[#This Row],[Date]])+IF(MONTH(Table13[[#This Row],[Date]])&gt;=4,1,0)</f>
        <v>2026</v>
      </c>
      <c r="C362" s="121">
        <f>YEAR(Table13[[#This Row],[Date]])</f>
        <v>2026</v>
      </c>
      <c r="D362" s="135">
        <f>Table13[[#This Row],[Date]]-DAY(Table13[[#This Row],[Date]])+1</f>
        <v>46082</v>
      </c>
      <c r="E362" s="121">
        <f t="shared" si="36"/>
        <v>31</v>
      </c>
      <c r="F362" s="124"/>
      <c r="G362" s="125"/>
      <c r="H362" s="125"/>
      <c r="I362" s="125"/>
      <c r="J362" s="125"/>
      <c r="K362" s="136"/>
      <c r="L362" s="125"/>
      <c r="M362" s="125" t="str">
        <f>IFERROR(_xlfn.XLOOKUP($A362,Input_Raw!$A:$A,Input_Raw!CG:CG),"")</f>
        <v/>
      </c>
      <c r="N362" s="125" t="str">
        <f>IFERROR(_xlfn.XLOOKUP($A362,Input_Raw!$A:$A,Input_Raw!CH:CH),"")</f>
        <v/>
      </c>
      <c r="O362" s="137" t="str">
        <f t="shared" si="37"/>
        <v/>
      </c>
      <c r="P362" s="137" t="str">
        <f>IFERROR(1-SUMIF(WTG_BD!$F:$F,$A362,WTG_BD!$AA:$AA)/($AA362+SUMIF(WTG_BD!$F:$F,$A362,WTG_BD!$AA:$AA)),"")</f>
        <v/>
      </c>
      <c r="Q362" s="138" t="str">
        <f>IFERROR(1-SUMIF(IGA_BD!$F:$F,$A362,IGA_BD!$V:$V)/($AA362+SUMIF(IGA_BD!$F:$F,$A362,IGA_BD!$V:$V)),"")</f>
        <v/>
      </c>
      <c r="R362" s="143" t="str">
        <f>IFERROR(1-SUMIF(Grid_BD!$F:$F,$A362,Grid_BD!$X:$X)/($AA362+SUMIF(Grid_BD!$F:$F,$A362,Grid_BD!$X:$X)),"")</f>
        <v/>
      </c>
      <c r="S362" s="121"/>
      <c r="T362" s="138"/>
      <c r="U362" s="139"/>
      <c r="V362" s="121"/>
      <c r="W362" s="140" t="str">
        <f>IFERROR(Table13[[#This Row],[Mtr_Net_Exp (KWh)]]/(24*AR362*1000),"")</f>
        <v/>
      </c>
      <c r="X362" s="121" t="str">
        <f>IFERROR(_xlfn.XLOOKUP($A362,Input_Raw!$A:$A,Input_Raw!$CF:$CF),"")</f>
        <v/>
      </c>
      <c r="Y362" s="121" t="str">
        <f>IFERROR(_xlfn.XLOOKUP($A362,Input_Raw!$A:$A,Input_Raw!$CZ:$CZ),"")</f>
        <v/>
      </c>
      <c r="Z362" s="121" t="str">
        <f>IFERROR(_xlfn.XLOOKUP($A362,Input_Raw!$A:$A,Input_Raw!$DA:$DA),"")</f>
        <v/>
      </c>
      <c r="AA362" s="123" t="str">
        <f t="shared" si="38"/>
        <v/>
      </c>
      <c r="AB362" s="121" t="str">
        <f>IFERROR(_xlfn.XLOOKUP($A362,Input_Raw!$A:$A,Input_Raw!$DG:$DG),"")</f>
        <v/>
      </c>
      <c r="AC362" s="141">
        <f>IFERROR(_xlfn.XLOOKUP($D362,'Modelling New'!$D:$D,'Modelling New'!$J:$J),"")</f>
        <v>4.5999999999999996</v>
      </c>
      <c r="AD362" s="123">
        <f>IFERROR(_xlfn.XLOOKUP($D362,'Modelling New'!$D:$D,'Modelling New'!$T:$T)*1000,"")</f>
        <v>221156.23146397382</v>
      </c>
      <c r="AE362" s="140"/>
      <c r="AF362" s="140">
        <f>IFERROR(_xlfn.XLOOKUP($D362,'Modelling New'!$D:$D,'Modelling New'!$W:$W),"")</f>
        <v>0.11813901253417405</v>
      </c>
      <c r="AG362" s="140">
        <f>IFERROR(_xlfn.XLOOKUP($D362,'Modelling New'!$D:$D,'Modelling New'!$AE:$AE),"")</f>
        <v>0.96029999999999993</v>
      </c>
      <c r="AH362" s="140">
        <f>IFERROR(_xlfn.XLOOKUP($D362,'Modelling New'!$D:$D,'Modelling New'!$AF:$AF),"")</f>
        <v>0.995</v>
      </c>
      <c r="AI362" s="121" t="str">
        <f>IFERROR(_xlfn.XLOOKUP($A362,Input_Raw!$A:$A,Input_Raw!$DE:$DE),"")</f>
        <v/>
      </c>
      <c r="AJ362" s="121"/>
      <c r="AK362" s="121"/>
      <c r="AL362" s="121"/>
      <c r="AM362" s="121"/>
      <c r="AN362" s="142" t="str">
        <f>IFERROR(_xlfn.XLOOKUP($A362,Input_Raw!$A:$A,Input_Raw!$DB:$DB),"")</f>
        <v/>
      </c>
      <c r="AO362" s="140" t="str">
        <f>IFERROR((_xlfn.XLOOKUP($A362,'WTG Reactive Power'!$A:$A,'WTG Reactive Power'!$AR:$AR))/X362/1000,"")</f>
        <v/>
      </c>
      <c r="AP362" s="140">
        <f>IFERROR(_xlfn.XLOOKUP($D362,'Modelling New'!$D:$D,'Modelling New'!$AK:$AK),"")</f>
        <v>0.05</v>
      </c>
      <c r="AQ362" s="140">
        <f>IFERROR(_xlfn.XLOOKUP($D362,'Modelling New'!$D:$D,'Modelling New'!$AL:$AL),"")</f>
        <v>0.05</v>
      </c>
      <c r="AR362">
        <f>IFERROR(_xlfn.XLOOKUP($D362,'Modelling New'!$D:$D,'Modelling New'!$N:$N),"")</f>
        <v>78</v>
      </c>
    </row>
    <row r="363" spans="1:44">
      <c r="A363" s="134">
        <f t="shared" si="39"/>
        <v>46106</v>
      </c>
      <c r="B363" s="123">
        <f>YEAR(Table13[[#This Row],[Date]])+IF(MONTH(Table13[[#This Row],[Date]])&gt;=4,1,0)</f>
        <v>2026</v>
      </c>
      <c r="C363" s="121">
        <f>YEAR(Table13[[#This Row],[Date]])</f>
        <v>2026</v>
      </c>
      <c r="D363" s="135">
        <f>Table13[[#This Row],[Date]]-DAY(Table13[[#This Row],[Date]])+1</f>
        <v>46082</v>
      </c>
      <c r="E363" s="121">
        <f t="shared" si="36"/>
        <v>31</v>
      </c>
      <c r="F363" s="124"/>
      <c r="G363" s="125"/>
      <c r="H363" s="125"/>
      <c r="I363" s="125"/>
      <c r="J363" s="125"/>
      <c r="K363" s="136"/>
      <c r="L363" s="125"/>
      <c r="M363" s="125" t="str">
        <f>IFERROR(_xlfn.XLOOKUP($A363,Input_Raw!$A:$A,Input_Raw!CG:CG),"")</f>
        <v/>
      </c>
      <c r="N363" s="125" t="str">
        <f>IFERROR(_xlfn.XLOOKUP($A363,Input_Raw!$A:$A,Input_Raw!CH:CH),"")</f>
        <v/>
      </c>
      <c r="O363" s="137" t="str">
        <f t="shared" si="37"/>
        <v/>
      </c>
      <c r="P363" s="137" t="str">
        <f>IFERROR(1-SUMIF(WTG_BD!$F:$F,$A363,WTG_BD!$AA:$AA)/($AA363+SUMIF(WTG_BD!$F:$F,$A363,WTG_BD!$AA:$AA)),"")</f>
        <v/>
      </c>
      <c r="Q363" s="138" t="str">
        <f>IFERROR(1-SUMIF(IGA_BD!$F:$F,$A363,IGA_BD!$V:$V)/($AA363+SUMIF(IGA_BD!$F:$F,$A363,IGA_BD!$V:$V)),"")</f>
        <v/>
      </c>
      <c r="R363" s="143" t="str">
        <f>IFERROR(1-SUMIF(Grid_BD!$F:$F,$A363,Grid_BD!$X:$X)/($AA363+SUMIF(Grid_BD!$F:$F,$A363,Grid_BD!$X:$X)),"")</f>
        <v/>
      </c>
      <c r="S363" s="121"/>
      <c r="T363" s="138"/>
      <c r="U363" s="139"/>
      <c r="V363" s="121"/>
      <c r="W363" s="140" t="str">
        <f>IFERROR(Table13[[#This Row],[Mtr_Net_Exp (KWh)]]/(24*AR363*1000),"")</f>
        <v/>
      </c>
      <c r="X363" s="121" t="str">
        <f>IFERROR(_xlfn.XLOOKUP($A363,Input_Raw!$A:$A,Input_Raw!$CF:$CF),"")</f>
        <v/>
      </c>
      <c r="Y363" s="121" t="str">
        <f>IFERROR(_xlfn.XLOOKUP($A363,Input_Raw!$A:$A,Input_Raw!$CZ:$CZ),"")</f>
        <v/>
      </c>
      <c r="Z363" s="121" t="str">
        <f>IFERROR(_xlfn.XLOOKUP($A363,Input_Raw!$A:$A,Input_Raw!$DA:$DA),"")</f>
        <v/>
      </c>
      <c r="AA363" s="123" t="str">
        <f t="shared" si="38"/>
        <v/>
      </c>
      <c r="AB363" s="121" t="str">
        <f>IFERROR(_xlfn.XLOOKUP($A363,Input_Raw!$A:$A,Input_Raw!$DG:$DG),"")</f>
        <v/>
      </c>
      <c r="AC363" s="141">
        <f>IFERROR(_xlfn.XLOOKUP($D363,'Modelling New'!$D:$D,'Modelling New'!$J:$J),"")</f>
        <v>4.5999999999999996</v>
      </c>
      <c r="AD363" s="123">
        <f>IFERROR(_xlfn.XLOOKUP($D363,'Modelling New'!$D:$D,'Modelling New'!$T:$T)*1000,"")</f>
        <v>221156.23146397382</v>
      </c>
      <c r="AE363" s="140"/>
      <c r="AF363" s="140">
        <f>IFERROR(_xlfn.XLOOKUP($D363,'Modelling New'!$D:$D,'Modelling New'!$W:$W),"")</f>
        <v>0.11813901253417405</v>
      </c>
      <c r="AG363" s="140">
        <f>IFERROR(_xlfn.XLOOKUP($D363,'Modelling New'!$D:$D,'Modelling New'!$AE:$AE),"")</f>
        <v>0.96029999999999993</v>
      </c>
      <c r="AH363" s="140">
        <f>IFERROR(_xlfn.XLOOKUP($D363,'Modelling New'!$D:$D,'Modelling New'!$AF:$AF),"")</f>
        <v>0.995</v>
      </c>
      <c r="AI363" s="121" t="str">
        <f>IFERROR(_xlfn.XLOOKUP($A363,Input_Raw!$A:$A,Input_Raw!$DE:$DE),"")</f>
        <v/>
      </c>
      <c r="AJ363" s="121"/>
      <c r="AK363" s="121"/>
      <c r="AL363" s="121"/>
      <c r="AM363" s="121"/>
      <c r="AN363" s="142" t="str">
        <f>IFERROR(_xlfn.XLOOKUP($A363,Input_Raw!$A:$A,Input_Raw!$DB:$DB),"")</f>
        <v/>
      </c>
      <c r="AO363" s="140" t="str">
        <f>IFERROR((_xlfn.XLOOKUP($A363,'WTG Reactive Power'!$A:$A,'WTG Reactive Power'!$AR:$AR))/X363/1000,"")</f>
        <v/>
      </c>
      <c r="AP363" s="140">
        <f>IFERROR(_xlfn.XLOOKUP($D363,'Modelling New'!$D:$D,'Modelling New'!$AK:$AK),"")</f>
        <v>0.05</v>
      </c>
      <c r="AQ363" s="140">
        <f>IFERROR(_xlfn.XLOOKUP($D363,'Modelling New'!$D:$D,'Modelling New'!$AL:$AL),"")</f>
        <v>0.05</v>
      </c>
      <c r="AR363">
        <f>IFERROR(_xlfn.XLOOKUP($D363,'Modelling New'!$D:$D,'Modelling New'!$N:$N),"")</f>
        <v>78</v>
      </c>
    </row>
    <row r="364" spans="1:44">
      <c r="A364" s="134">
        <f t="shared" si="39"/>
        <v>46107</v>
      </c>
      <c r="B364" s="123">
        <f>YEAR(Table13[[#This Row],[Date]])+IF(MONTH(Table13[[#This Row],[Date]])&gt;=4,1,0)</f>
        <v>2026</v>
      </c>
      <c r="C364" s="121">
        <f>YEAR(Table13[[#This Row],[Date]])</f>
        <v>2026</v>
      </c>
      <c r="D364" s="135">
        <f>Table13[[#This Row],[Date]]-DAY(Table13[[#This Row],[Date]])+1</f>
        <v>46082</v>
      </c>
      <c r="E364" s="121">
        <f t="shared" si="36"/>
        <v>31</v>
      </c>
      <c r="F364" s="124"/>
      <c r="G364" s="125"/>
      <c r="H364" s="125"/>
      <c r="I364" s="125"/>
      <c r="J364" s="125"/>
      <c r="K364" s="136"/>
      <c r="L364" s="125"/>
      <c r="M364" s="125" t="str">
        <f>IFERROR(_xlfn.XLOOKUP($A364,Input_Raw!$A:$A,Input_Raw!CG:CG),"")</f>
        <v/>
      </c>
      <c r="N364" s="125" t="str">
        <f>IFERROR(_xlfn.XLOOKUP($A364,Input_Raw!$A:$A,Input_Raw!CH:CH),"")</f>
        <v/>
      </c>
      <c r="O364" s="137" t="str">
        <f t="shared" si="37"/>
        <v/>
      </c>
      <c r="P364" s="137" t="str">
        <f>IFERROR(1-SUMIF(WTG_BD!$F:$F,$A364,WTG_BD!$AA:$AA)/($AA364+SUMIF(WTG_BD!$F:$F,$A364,WTG_BD!$AA:$AA)),"")</f>
        <v/>
      </c>
      <c r="Q364" s="138" t="str">
        <f>IFERROR(1-SUMIF(IGA_BD!$F:$F,$A364,IGA_BD!$V:$V)/($AA364+SUMIF(IGA_BD!$F:$F,$A364,IGA_BD!$V:$V)),"")</f>
        <v/>
      </c>
      <c r="R364" s="143" t="str">
        <f>IFERROR(1-SUMIF(Grid_BD!$F:$F,$A364,Grid_BD!$X:$X)/($AA364+SUMIF(Grid_BD!$F:$F,$A364,Grid_BD!$X:$X)),"")</f>
        <v/>
      </c>
      <c r="S364" s="121"/>
      <c r="T364" s="138"/>
      <c r="U364" s="139"/>
      <c r="V364" s="121"/>
      <c r="W364" s="140" t="str">
        <f>IFERROR(Table13[[#This Row],[Mtr_Net_Exp (KWh)]]/(24*AR364*1000),"")</f>
        <v/>
      </c>
      <c r="X364" s="121" t="str">
        <f>IFERROR(_xlfn.XLOOKUP($A364,Input_Raw!$A:$A,Input_Raw!$CF:$CF),"")</f>
        <v/>
      </c>
      <c r="Y364" s="121" t="str">
        <f>IFERROR(_xlfn.XLOOKUP($A364,Input_Raw!$A:$A,Input_Raw!$CZ:$CZ),"")</f>
        <v/>
      </c>
      <c r="Z364" s="121" t="str">
        <f>IFERROR(_xlfn.XLOOKUP($A364,Input_Raw!$A:$A,Input_Raw!$DA:$DA),"")</f>
        <v/>
      </c>
      <c r="AA364" s="123" t="str">
        <f t="shared" si="38"/>
        <v/>
      </c>
      <c r="AB364" s="121" t="str">
        <f>IFERROR(_xlfn.XLOOKUP($A364,Input_Raw!$A:$A,Input_Raw!$DG:$DG),"")</f>
        <v/>
      </c>
      <c r="AC364" s="141">
        <f>IFERROR(_xlfn.XLOOKUP($D364,'Modelling New'!$D:$D,'Modelling New'!$J:$J),"")</f>
        <v>4.5999999999999996</v>
      </c>
      <c r="AD364" s="123">
        <f>IFERROR(_xlfn.XLOOKUP($D364,'Modelling New'!$D:$D,'Modelling New'!$T:$T)*1000,"")</f>
        <v>221156.23146397382</v>
      </c>
      <c r="AE364" s="140"/>
      <c r="AF364" s="140">
        <f>IFERROR(_xlfn.XLOOKUP($D364,'Modelling New'!$D:$D,'Modelling New'!$W:$W),"")</f>
        <v>0.11813901253417405</v>
      </c>
      <c r="AG364" s="140">
        <f>IFERROR(_xlfn.XLOOKUP($D364,'Modelling New'!$D:$D,'Modelling New'!$AE:$AE),"")</f>
        <v>0.96029999999999993</v>
      </c>
      <c r="AH364" s="140">
        <f>IFERROR(_xlfn.XLOOKUP($D364,'Modelling New'!$D:$D,'Modelling New'!$AF:$AF),"")</f>
        <v>0.995</v>
      </c>
      <c r="AI364" s="121" t="str">
        <f>IFERROR(_xlfn.XLOOKUP($A364,Input_Raw!$A:$A,Input_Raw!$DE:$DE),"")</f>
        <v/>
      </c>
      <c r="AJ364" s="121"/>
      <c r="AK364" s="121"/>
      <c r="AL364" s="121"/>
      <c r="AM364" s="121"/>
      <c r="AN364" s="142" t="str">
        <f>IFERROR(_xlfn.XLOOKUP($A364,Input_Raw!$A:$A,Input_Raw!$DB:$DB),"")</f>
        <v/>
      </c>
      <c r="AO364" s="140" t="str">
        <f>IFERROR((_xlfn.XLOOKUP($A364,'WTG Reactive Power'!$A:$A,'WTG Reactive Power'!$AR:$AR))/X364/1000,"")</f>
        <v/>
      </c>
      <c r="AP364" s="140">
        <f>IFERROR(_xlfn.XLOOKUP($D364,'Modelling New'!$D:$D,'Modelling New'!$AK:$AK),"")</f>
        <v>0.05</v>
      </c>
      <c r="AQ364" s="140">
        <f>IFERROR(_xlfn.XLOOKUP($D364,'Modelling New'!$D:$D,'Modelling New'!$AL:$AL),"")</f>
        <v>0.05</v>
      </c>
      <c r="AR364">
        <f>IFERROR(_xlfn.XLOOKUP($D364,'Modelling New'!$D:$D,'Modelling New'!$N:$N),"")</f>
        <v>78</v>
      </c>
    </row>
    <row r="365" spans="1:44">
      <c r="A365" s="134">
        <f t="shared" si="39"/>
        <v>46108</v>
      </c>
      <c r="B365" s="123">
        <f>YEAR(Table13[[#This Row],[Date]])+IF(MONTH(Table13[[#This Row],[Date]])&gt;=4,1,0)</f>
        <v>2026</v>
      </c>
      <c r="C365" s="121">
        <f>YEAR(Table13[[#This Row],[Date]])</f>
        <v>2026</v>
      </c>
      <c r="D365" s="135">
        <f>Table13[[#This Row],[Date]]-DAY(Table13[[#This Row],[Date]])+1</f>
        <v>46082</v>
      </c>
      <c r="E365" s="121">
        <f t="shared" si="36"/>
        <v>31</v>
      </c>
      <c r="F365" s="124"/>
      <c r="G365" s="125"/>
      <c r="H365" s="125"/>
      <c r="I365" s="125"/>
      <c r="J365" s="125"/>
      <c r="K365" s="136"/>
      <c r="L365" s="125"/>
      <c r="M365" s="125" t="str">
        <f>IFERROR(_xlfn.XLOOKUP($A365,Input_Raw!$A:$A,Input_Raw!CG:CG),"")</f>
        <v/>
      </c>
      <c r="N365" s="125" t="str">
        <f>IFERROR(_xlfn.XLOOKUP($A365,Input_Raw!$A:$A,Input_Raw!CH:CH),"")</f>
        <v/>
      </c>
      <c r="O365" s="137" t="str">
        <f t="shared" si="37"/>
        <v/>
      </c>
      <c r="P365" s="137" t="str">
        <f>IFERROR(1-SUMIF(WTG_BD!$F:$F,$A365,WTG_BD!$AA:$AA)/($AA365+SUMIF(WTG_BD!$F:$F,$A365,WTG_BD!$AA:$AA)),"")</f>
        <v/>
      </c>
      <c r="Q365" s="138" t="str">
        <f>IFERROR(1-SUMIF(IGA_BD!$F:$F,$A365,IGA_BD!$V:$V)/($AA365+SUMIF(IGA_BD!$F:$F,$A365,IGA_BD!$V:$V)),"")</f>
        <v/>
      </c>
      <c r="R365" s="143" t="str">
        <f>IFERROR(1-SUMIF(Grid_BD!$F:$F,$A365,Grid_BD!$X:$X)/($AA365+SUMIF(Grid_BD!$F:$F,$A365,Grid_BD!$X:$X)),"")</f>
        <v/>
      </c>
      <c r="S365" s="121"/>
      <c r="T365" s="138"/>
      <c r="U365" s="139"/>
      <c r="V365" s="121"/>
      <c r="W365" s="140" t="str">
        <f>IFERROR(Table13[[#This Row],[Mtr_Net_Exp (KWh)]]/(24*AR365*1000),"")</f>
        <v/>
      </c>
      <c r="X365" s="121" t="str">
        <f>IFERROR(_xlfn.XLOOKUP($A365,Input_Raw!$A:$A,Input_Raw!$CF:$CF),"")</f>
        <v/>
      </c>
      <c r="Y365" s="121" t="str">
        <f>IFERROR(_xlfn.XLOOKUP($A365,Input_Raw!$A:$A,Input_Raw!$CZ:$CZ),"")</f>
        <v/>
      </c>
      <c r="Z365" s="121" t="str">
        <f>IFERROR(_xlfn.XLOOKUP($A365,Input_Raw!$A:$A,Input_Raw!$DA:$DA),"")</f>
        <v/>
      </c>
      <c r="AA365" s="123" t="str">
        <f t="shared" si="38"/>
        <v/>
      </c>
      <c r="AB365" s="121" t="str">
        <f>IFERROR(_xlfn.XLOOKUP($A365,Input_Raw!$A:$A,Input_Raw!$DG:$DG),"")</f>
        <v/>
      </c>
      <c r="AC365" s="141">
        <f>IFERROR(_xlfn.XLOOKUP($D365,'Modelling New'!$D:$D,'Modelling New'!$J:$J),"")</f>
        <v>4.5999999999999996</v>
      </c>
      <c r="AD365" s="123">
        <f>IFERROR(_xlfn.XLOOKUP($D365,'Modelling New'!$D:$D,'Modelling New'!$T:$T)*1000,"")</f>
        <v>221156.23146397382</v>
      </c>
      <c r="AE365" s="140"/>
      <c r="AF365" s="140">
        <f>IFERROR(_xlfn.XLOOKUP($D365,'Modelling New'!$D:$D,'Modelling New'!$W:$W),"")</f>
        <v>0.11813901253417405</v>
      </c>
      <c r="AG365" s="140">
        <f>IFERROR(_xlfn.XLOOKUP($D365,'Modelling New'!$D:$D,'Modelling New'!$AE:$AE),"")</f>
        <v>0.96029999999999993</v>
      </c>
      <c r="AH365" s="140">
        <f>IFERROR(_xlfn.XLOOKUP($D365,'Modelling New'!$D:$D,'Modelling New'!$AF:$AF),"")</f>
        <v>0.995</v>
      </c>
      <c r="AI365" s="121" t="str">
        <f>IFERROR(_xlfn.XLOOKUP($A365,Input_Raw!$A:$A,Input_Raw!$DE:$DE),"")</f>
        <v/>
      </c>
      <c r="AJ365" s="121"/>
      <c r="AK365" s="121"/>
      <c r="AL365" s="121"/>
      <c r="AM365" s="121"/>
      <c r="AN365" s="142" t="str">
        <f>IFERROR(_xlfn.XLOOKUP($A365,Input_Raw!$A:$A,Input_Raw!$DB:$DB),"")</f>
        <v/>
      </c>
      <c r="AO365" s="140" t="str">
        <f>IFERROR((_xlfn.XLOOKUP($A365,'WTG Reactive Power'!$A:$A,'WTG Reactive Power'!$AR:$AR))/X365/1000,"")</f>
        <v/>
      </c>
      <c r="AP365" s="140">
        <f>IFERROR(_xlfn.XLOOKUP($D365,'Modelling New'!$D:$D,'Modelling New'!$AK:$AK),"")</f>
        <v>0.05</v>
      </c>
      <c r="AQ365" s="140">
        <f>IFERROR(_xlfn.XLOOKUP($D365,'Modelling New'!$D:$D,'Modelling New'!$AL:$AL),"")</f>
        <v>0.05</v>
      </c>
      <c r="AR365">
        <f>IFERROR(_xlfn.XLOOKUP($D365,'Modelling New'!$D:$D,'Modelling New'!$N:$N),"")</f>
        <v>78</v>
      </c>
    </row>
    <row r="366" spans="1:44">
      <c r="A366" s="134">
        <f t="shared" si="39"/>
        <v>46109</v>
      </c>
      <c r="B366" s="123">
        <f>YEAR(Table13[[#This Row],[Date]])+IF(MONTH(Table13[[#This Row],[Date]])&gt;=4,1,0)</f>
        <v>2026</v>
      </c>
      <c r="C366" s="121">
        <f>YEAR(Table13[[#This Row],[Date]])</f>
        <v>2026</v>
      </c>
      <c r="D366" s="135">
        <f>Table13[[#This Row],[Date]]-DAY(Table13[[#This Row],[Date]])+1</f>
        <v>46082</v>
      </c>
      <c r="E366" s="121">
        <f t="shared" si="36"/>
        <v>31</v>
      </c>
      <c r="F366" s="124"/>
      <c r="G366" s="125"/>
      <c r="H366" s="125"/>
      <c r="I366" s="125"/>
      <c r="J366" s="125"/>
      <c r="K366" s="136"/>
      <c r="L366" s="125"/>
      <c r="M366" s="125" t="str">
        <f>IFERROR(_xlfn.XLOOKUP($A366,Input_Raw!$A:$A,Input_Raw!CG:CG),"")</f>
        <v/>
      </c>
      <c r="N366" s="125" t="str">
        <f>IFERROR(_xlfn.XLOOKUP($A366,Input_Raw!$A:$A,Input_Raw!CH:CH),"")</f>
        <v/>
      </c>
      <c r="O366" s="137" t="str">
        <f t="shared" si="37"/>
        <v/>
      </c>
      <c r="P366" s="137" t="str">
        <f>IFERROR(1-SUMIF(WTG_BD!$F:$F,$A366,WTG_BD!$AA:$AA)/($AA366+SUMIF(WTG_BD!$F:$F,$A366,WTG_BD!$AA:$AA)),"")</f>
        <v/>
      </c>
      <c r="Q366" s="138" t="str">
        <f>IFERROR(1-SUMIF(IGA_BD!$F:$F,$A366,IGA_BD!$V:$V)/($AA366+SUMIF(IGA_BD!$F:$F,$A366,IGA_BD!$V:$V)),"")</f>
        <v/>
      </c>
      <c r="R366" s="143" t="str">
        <f>IFERROR(1-SUMIF(Grid_BD!$F:$F,$A366,Grid_BD!$X:$X)/($AA366+SUMIF(Grid_BD!$F:$F,$A366,Grid_BD!$X:$X)),"")</f>
        <v/>
      </c>
      <c r="S366" s="121"/>
      <c r="T366" s="138"/>
      <c r="U366" s="139"/>
      <c r="V366" s="121"/>
      <c r="W366" s="140" t="str">
        <f>IFERROR(Table13[[#This Row],[Mtr_Net_Exp (KWh)]]/(24*AR366*1000),"")</f>
        <v/>
      </c>
      <c r="X366" s="121" t="str">
        <f>IFERROR(_xlfn.XLOOKUP($A366,Input_Raw!$A:$A,Input_Raw!$CF:$CF),"")</f>
        <v/>
      </c>
      <c r="Y366" s="121" t="str">
        <f>IFERROR(_xlfn.XLOOKUP($A366,Input_Raw!$A:$A,Input_Raw!$CZ:$CZ),"")</f>
        <v/>
      </c>
      <c r="Z366" s="121" t="str">
        <f>IFERROR(_xlfn.XLOOKUP($A366,Input_Raw!$A:$A,Input_Raw!$DA:$DA),"")</f>
        <v/>
      </c>
      <c r="AA366" s="123" t="str">
        <f t="shared" si="38"/>
        <v/>
      </c>
      <c r="AB366" s="121" t="str">
        <f>IFERROR(_xlfn.XLOOKUP($A366,Input_Raw!$A:$A,Input_Raw!$DG:$DG),"")</f>
        <v/>
      </c>
      <c r="AC366" s="141">
        <f>IFERROR(_xlfn.XLOOKUP($D366,'Modelling New'!$D:$D,'Modelling New'!$J:$J),"")</f>
        <v>4.5999999999999996</v>
      </c>
      <c r="AD366" s="123">
        <f>IFERROR(_xlfn.XLOOKUP($D366,'Modelling New'!$D:$D,'Modelling New'!$T:$T)*1000,"")</f>
        <v>221156.23146397382</v>
      </c>
      <c r="AE366" s="140"/>
      <c r="AF366" s="140">
        <f>IFERROR(_xlfn.XLOOKUP($D366,'Modelling New'!$D:$D,'Modelling New'!$W:$W),"")</f>
        <v>0.11813901253417405</v>
      </c>
      <c r="AG366" s="140">
        <f>IFERROR(_xlfn.XLOOKUP($D366,'Modelling New'!$D:$D,'Modelling New'!$AE:$AE),"")</f>
        <v>0.96029999999999993</v>
      </c>
      <c r="AH366" s="140">
        <f>IFERROR(_xlfn.XLOOKUP($D366,'Modelling New'!$D:$D,'Modelling New'!$AF:$AF),"")</f>
        <v>0.995</v>
      </c>
      <c r="AI366" s="121" t="str">
        <f>IFERROR(_xlfn.XLOOKUP($A366,Input_Raw!$A:$A,Input_Raw!$DE:$DE),"")</f>
        <v/>
      </c>
      <c r="AJ366" s="121"/>
      <c r="AK366" s="121"/>
      <c r="AL366" s="121"/>
      <c r="AM366" s="121"/>
      <c r="AN366" s="142" t="str">
        <f>IFERROR(_xlfn.XLOOKUP($A366,Input_Raw!$A:$A,Input_Raw!$DB:$DB),"")</f>
        <v/>
      </c>
      <c r="AO366" s="140" t="str">
        <f>IFERROR((_xlfn.XLOOKUP($A366,'WTG Reactive Power'!$A:$A,'WTG Reactive Power'!$AR:$AR))/X366/1000,"")</f>
        <v/>
      </c>
      <c r="AP366" s="140">
        <f>IFERROR(_xlfn.XLOOKUP($D366,'Modelling New'!$D:$D,'Modelling New'!$AK:$AK),"")</f>
        <v>0.05</v>
      </c>
      <c r="AQ366" s="140">
        <f>IFERROR(_xlfn.XLOOKUP($D366,'Modelling New'!$D:$D,'Modelling New'!$AL:$AL),"")</f>
        <v>0.05</v>
      </c>
      <c r="AR366">
        <f>IFERROR(_xlfn.XLOOKUP($D366,'Modelling New'!$D:$D,'Modelling New'!$N:$N),"")</f>
        <v>78</v>
      </c>
    </row>
    <row r="367" spans="1:44">
      <c r="A367" s="134">
        <f t="shared" si="39"/>
        <v>46110</v>
      </c>
      <c r="B367" s="123">
        <f>YEAR(Table13[[#This Row],[Date]])+IF(MONTH(Table13[[#This Row],[Date]])&gt;=4,1,0)</f>
        <v>2026</v>
      </c>
      <c r="C367" s="121">
        <f>YEAR(Table13[[#This Row],[Date]])</f>
        <v>2026</v>
      </c>
      <c r="D367" s="135">
        <f>Table13[[#This Row],[Date]]-DAY(Table13[[#This Row],[Date]])+1</f>
        <v>46082</v>
      </c>
      <c r="E367" s="121">
        <f t="shared" si="36"/>
        <v>31</v>
      </c>
      <c r="F367" s="124"/>
      <c r="G367" s="125"/>
      <c r="H367" s="125"/>
      <c r="I367" s="125"/>
      <c r="J367" s="125"/>
      <c r="K367" s="136"/>
      <c r="L367" s="125"/>
      <c r="M367" s="125" t="str">
        <f>IFERROR(_xlfn.XLOOKUP($A367,Input_Raw!$A:$A,Input_Raw!CG:CG),"")</f>
        <v/>
      </c>
      <c r="N367" s="125" t="str">
        <f>IFERROR(_xlfn.XLOOKUP($A367,Input_Raw!$A:$A,Input_Raw!CH:CH),"")</f>
        <v/>
      </c>
      <c r="O367" s="137" t="str">
        <f t="shared" si="37"/>
        <v/>
      </c>
      <c r="P367" s="137" t="str">
        <f>IFERROR(1-SUMIF(WTG_BD!$F:$F,$A367,WTG_BD!$AA:$AA)/($AA367+SUMIF(WTG_BD!$F:$F,$A367,WTG_BD!$AA:$AA)),"")</f>
        <v/>
      </c>
      <c r="Q367" s="138" t="str">
        <f>IFERROR(1-SUMIF(IGA_BD!$F:$F,$A367,IGA_BD!$V:$V)/($AA367+SUMIF(IGA_BD!$F:$F,$A367,IGA_BD!$V:$V)),"")</f>
        <v/>
      </c>
      <c r="R367" s="143" t="str">
        <f>IFERROR(1-SUMIF(Grid_BD!$F:$F,$A367,Grid_BD!$X:$X)/($AA367+SUMIF(Grid_BD!$F:$F,$A367,Grid_BD!$X:$X)),"")</f>
        <v/>
      </c>
      <c r="S367" s="121"/>
      <c r="T367" s="138"/>
      <c r="U367" s="139"/>
      <c r="V367" s="121"/>
      <c r="W367" s="140" t="str">
        <f>IFERROR(Table13[[#This Row],[Mtr_Net_Exp (KWh)]]/(24*AR367*1000),"")</f>
        <v/>
      </c>
      <c r="X367" s="121" t="str">
        <f>IFERROR(_xlfn.XLOOKUP($A367,Input_Raw!$A:$A,Input_Raw!$CF:$CF),"")</f>
        <v/>
      </c>
      <c r="Y367" s="121" t="str">
        <f>IFERROR(_xlfn.XLOOKUP($A367,Input_Raw!$A:$A,Input_Raw!$CZ:$CZ),"")</f>
        <v/>
      </c>
      <c r="Z367" s="121" t="str">
        <f>IFERROR(_xlfn.XLOOKUP($A367,Input_Raw!$A:$A,Input_Raw!$DA:$DA),"")</f>
        <v/>
      </c>
      <c r="AA367" s="123" t="str">
        <f t="shared" si="38"/>
        <v/>
      </c>
      <c r="AB367" s="121" t="str">
        <f>IFERROR(_xlfn.XLOOKUP($A367,Input_Raw!$A:$A,Input_Raw!$DG:$DG),"")</f>
        <v/>
      </c>
      <c r="AC367" s="141">
        <f>IFERROR(_xlfn.XLOOKUP($D367,'Modelling New'!$D:$D,'Modelling New'!$J:$J),"")</f>
        <v>4.5999999999999996</v>
      </c>
      <c r="AD367" s="123">
        <f>IFERROR(_xlfn.XLOOKUP($D367,'Modelling New'!$D:$D,'Modelling New'!$T:$T)*1000,"")</f>
        <v>221156.23146397382</v>
      </c>
      <c r="AE367" s="140"/>
      <c r="AF367" s="140">
        <f>IFERROR(_xlfn.XLOOKUP($D367,'Modelling New'!$D:$D,'Modelling New'!$W:$W),"")</f>
        <v>0.11813901253417405</v>
      </c>
      <c r="AG367" s="140">
        <f>IFERROR(_xlfn.XLOOKUP($D367,'Modelling New'!$D:$D,'Modelling New'!$AE:$AE),"")</f>
        <v>0.96029999999999993</v>
      </c>
      <c r="AH367" s="140">
        <f>IFERROR(_xlfn.XLOOKUP($D367,'Modelling New'!$D:$D,'Modelling New'!$AF:$AF),"")</f>
        <v>0.995</v>
      </c>
      <c r="AI367" s="121" t="str">
        <f>IFERROR(_xlfn.XLOOKUP($A367,Input_Raw!$A:$A,Input_Raw!$DE:$DE),"")</f>
        <v/>
      </c>
      <c r="AJ367" s="121"/>
      <c r="AK367" s="121"/>
      <c r="AL367" s="121"/>
      <c r="AM367" s="121"/>
      <c r="AN367" s="142" t="str">
        <f>IFERROR(_xlfn.XLOOKUP($A367,Input_Raw!$A:$A,Input_Raw!$DB:$DB),"")</f>
        <v/>
      </c>
      <c r="AO367" s="140" t="str">
        <f>IFERROR((_xlfn.XLOOKUP($A367,'WTG Reactive Power'!$A:$A,'WTG Reactive Power'!$AR:$AR))/X367/1000,"")</f>
        <v/>
      </c>
      <c r="AP367" s="140">
        <f>IFERROR(_xlfn.XLOOKUP($D367,'Modelling New'!$D:$D,'Modelling New'!$AK:$AK),"")</f>
        <v>0.05</v>
      </c>
      <c r="AQ367" s="140">
        <f>IFERROR(_xlfn.XLOOKUP($D367,'Modelling New'!$D:$D,'Modelling New'!$AL:$AL),"")</f>
        <v>0.05</v>
      </c>
      <c r="AR367">
        <f>IFERROR(_xlfn.XLOOKUP($D367,'Modelling New'!$D:$D,'Modelling New'!$N:$N),"")</f>
        <v>78</v>
      </c>
    </row>
    <row r="368" spans="1:44">
      <c r="A368" s="134">
        <f t="shared" si="39"/>
        <v>46111</v>
      </c>
      <c r="B368" s="123">
        <f>YEAR(Table13[[#This Row],[Date]])+IF(MONTH(Table13[[#This Row],[Date]])&gt;=4,1,0)</f>
        <v>2026</v>
      </c>
      <c r="C368" s="121">
        <f>YEAR(Table13[[#This Row],[Date]])</f>
        <v>2026</v>
      </c>
      <c r="D368" s="135">
        <f>Table13[[#This Row],[Date]]-DAY(Table13[[#This Row],[Date]])+1</f>
        <v>46082</v>
      </c>
      <c r="E368" s="121">
        <f t="shared" si="36"/>
        <v>31</v>
      </c>
      <c r="F368" s="124"/>
      <c r="G368" s="125"/>
      <c r="H368" s="125"/>
      <c r="I368" s="125"/>
      <c r="J368" s="125"/>
      <c r="K368" s="136"/>
      <c r="L368" s="125"/>
      <c r="M368" s="125" t="str">
        <f>IFERROR(_xlfn.XLOOKUP($A368,Input_Raw!$A:$A,Input_Raw!CG:CG),"")</f>
        <v/>
      </c>
      <c r="N368" s="125" t="str">
        <f>IFERROR(_xlfn.XLOOKUP($A368,Input_Raw!$A:$A,Input_Raw!CH:CH),"")</f>
        <v/>
      </c>
      <c r="O368" s="137" t="str">
        <f t="shared" si="37"/>
        <v/>
      </c>
      <c r="P368" s="137" t="str">
        <f>IFERROR(1-SUMIF(WTG_BD!$F:$F,$A368,WTG_BD!$AA:$AA)/($AA368+SUMIF(WTG_BD!$F:$F,$A368,WTG_BD!$AA:$AA)),"")</f>
        <v/>
      </c>
      <c r="Q368" s="138" t="str">
        <f>IFERROR(1-SUMIF(IGA_BD!$F:$F,$A368,IGA_BD!$V:$V)/($AA368+SUMIF(IGA_BD!$F:$F,$A368,IGA_BD!$V:$V)),"")</f>
        <v/>
      </c>
      <c r="R368" s="143" t="str">
        <f>IFERROR(1-SUMIF(Grid_BD!$F:$F,$A368,Grid_BD!$X:$X)/($AA368+SUMIF(Grid_BD!$F:$F,$A368,Grid_BD!$X:$X)),"")</f>
        <v/>
      </c>
      <c r="S368" s="121"/>
      <c r="T368" s="138"/>
      <c r="U368" s="139"/>
      <c r="V368" s="121"/>
      <c r="W368" s="140" t="str">
        <f>IFERROR(Table13[[#This Row],[Mtr_Net_Exp (KWh)]]/(24*AR368*1000),"")</f>
        <v/>
      </c>
      <c r="X368" s="121" t="str">
        <f>IFERROR(_xlfn.XLOOKUP($A368,Input_Raw!$A:$A,Input_Raw!$CF:$CF),"")</f>
        <v/>
      </c>
      <c r="Y368" s="121" t="str">
        <f>IFERROR(_xlfn.XLOOKUP($A368,Input_Raw!$A:$A,Input_Raw!$CZ:$CZ),"")</f>
        <v/>
      </c>
      <c r="Z368" s="121" t="str">
        <f>IFERROR(_xlfn.XLOOKUP($A368,Input_Raw!$A:$A,Input_Raw!$DA:$DA),"")</f>
        <v/>
      </c>
      <c r="AA368" s="123" t="str">
        <f t="shared" si="38"/>
        <v/>
      </c>
      <c r="AB368" s="121" t="str">
        <f>IFERROR(_xlfn.XLOOKUP($A368,Input_Raw!$A:$A,Input_Raw!$DG:$DG),"")</f>
        <v/>
      </c>
      <c r="AC368" s="141">
        <f>IFERROR(_xlfn.XLOOKUP($D368,'Modelling New'!$D:$D,'Modelling New'!$J:$J),"")</f>
        <v>4.5999999999999996</v>
      </c>
      <c r="AD368" s="123">
        <f>IFERROR(_xlfn.XLOOKUP($D368,'Modelling New'!$D:$D,'Modelling New'!$T:$T)*1000,"")</f>
        <v>221156.23146397382</v>
      </c>
      <c r="AE368" s="140"/>
      <c r="AF368" s="140">
        <f>IFERROR(_xlfn.XLOOKUP($D368,'Modelling New'!$D:$D,'Modelling New'!$W:$W),"")</f>
        <v>0.11813901253417405</v>
      </c>
      <c r="AG368" s="140">
        <f>IFERROR(_xlfn.XLOOKUP($D368,'Modelling New'!$D:$D,'Modelling New'!$AE:$AE),"")</f>
        <v>0.96029999999999993</v>
      </c>
      <c r="AH368" s="140">
        <f>IFERROR(_xlfn.XLOOKUP($D368,'Modelling New'!$D:$D,'Modelling New'!$AF:$AF),"")</f>
        <v>0.995</v>
      </c>
      <c r="AI368" s="121" t="str">
        <f>IFERROR(_xlfn.XLOOKUP($A368,Input_Raw!$A:$A,Input_Raw!$DE:$DE),"")</f>
        <v/>
      </c>
      <c r="AJ368" s="121"/>
      <c r="AK368" s="121"/>
      <c r="AL368" s="121"/>
      <c r="AM368" s="121"/>
      <c r="AN368" s="142" t="str">
        <f>IFERROR(_xlfn.XLOOKUP($A368,Input_Raw!$A:$A,Input_Raw!$DB:$DB),"")</f>
        <v/>
      </c>
      <c r="AO368" s="140" t="str">
        <f>IFERROR((_xlfn.XLOOKUP($A368,'WTG Reactive Power'!$A:$A,'WTG Reactive Power'!$AR:$AR))/X368/1000,"")</f>
        <v/>
      </c>
      <c r="AP368" s="140">
        <f>IFERROR(_xlfn.XLOOKUP($D368,'Modelling New'!$D:$D,'Modelling New'!$AK:$AK),"")</f>
        <v>0.05</v>
      </c>
      <c r="AQ368" s="140">
        <f>IFERROR(_xlfn.XLOOKUP($D368,'Modelling New'!$D:$D,'Modelling New'!$AL:$AL),"")</f>
        <v>0.05</v>
      </c>
      <c r="AR368">
        <f>IFERROR(_xlfn.XLOOKUP($D368,'Modelling New'!$D:$D,'Modelling New'!$N:$N),"")</f>
        <v>78</v>
      </c>
    </row>
    <row r="369" spans="1:44">
      <c r="A369" s="134">
        <f t="shared" si="39"/>
        <v>46112</v>
      </c>
      <c r="B369" s="123">
        <f>YEAR(Table13[[#This Row],[Date]])+IF(MONTH(Table13[[#This Row],[Date]])&gt;=4,1,0)</f>
        <v>2026</v>
      </c>
      <c r="C369" s="121">
        <f>YEAR(Table13[[#This Row],[Date]])</f>
        <v>2026</v>
      </c>
      <c r="D369" s="135">
        <f>Table13[[#This Row],[Date]]-DAY(Table13[[#This Row],[Date]])+1</f>
        <v>46082</v>
      </c>
      <c r="E369" s="121">
        <f t="shared" si="36"/>
        <v>31</v>
      </c>
      <c r="F369" s="124"/>
      <c r="G369" s="125"/>
      <c r="H369" s="125"/>
      <c r="I369" s="125"/>
      <c r="J369" s="125"/>
      <c r="K369" s="136"/>
      <c r="L369" s="125"/>
      <c r="M369" s="125" t="str">
        <f>IFERROR(_xlfn.XLOOKUP($A369,Input_Raw!$A:$A,Input_Raw!CG:CG),"")</f>
        <v/>
      </c>
      <c r="N369" s="125" t="str">
        <f>IFERROR(_xlfn.XLOOKUP($A369,Input_Raw!$A:$A,Input_Raw!CH:CH),"")</f>
        <v/>
      </c>
      <c r="O369" s="137" t="str">
        <f t="shared" si="37"/>
        <v/>
      </c>
      <c r="P369" s="137" t="str">
        <f>IFERROR(1-SUMIF(WTG_BD!$F:$F,$A369,WTG_BD!$AA:$AA)/($AA369+SUMIF(WTG_BD!$F:$F,$A369,WTG_BD!$AA:$AA)),"")</f>
        <v/>
      </c>
      <c r="Q369" s="138" t="str">
        <f>IFERROR(1-SUMIF(IGA_BD!$F:$F,$A369,IGA_BD!$V:$V)/($AA369+SUMIF(IGA_BD!$F:$F,$A369,IGA_BD!$V:$V)),"")</f>
        <v/>
      </c>
      <c r="R369" s="143" t="str">
        <f>IFERROR(1-SUMIF(Grid_BD!$F:$F,$A369,Grid_BD!$X:$X)/($AA369+SUMIF(Grid_BD!$F:$F,$A369,Grid_BD!$X:$X)),"")</f>
        <v/>
      </c>
      <c r="S369" s="121"/>
      <c r="T369" s="138"/>
      <c r="U369" s="139"/>
      <c r="V369" s="121"/>
      <c r="W369" s="140" t="str">
        <f>IFERROR(Table13[[#This Row],[Mtr_Net_Exp (KWh)]]/(24*AR369*1000),"")</f>
        <v/>
      </c>
      <c r="X369" s="121" t="str">
        <f>IFERROR(_xlfn.XLOOKUP($A369,Input_Raw!$A:$A,Input_Raw!$CF:$CF),"")</f>
        <v/>
      </c>
      <c r="Y369" s="121" t="str">
        <f>IFERROR(_xlfn.XLOOKUP($A369,Input_Raw!$A:$A,Input_Raw!$CZ:$CZ),"")</f>
        <v/>
      </c>
      <c r="Z369" s="121" t="str">
        <f>IFERROR(_xlfn.XLOOKUP($A369,Input_Raw!$A:$A,Input_Raw!$DA:$DA),"")</f>
        <v/>
      </c>
      <c r="AA369" s="123" t="str">
        <f t="shared" si="38"/>
        <v/>
      </c>
      <c r="AB369" s="121" t="str">
        <f>IFERROR(_xlfn.XLOOKUP($A369,Input_Raw!$A:$A,Input_Raw!$DG:$DG),"")</f>
        <v/>
      </c>
      <c r="AC369" s="141">
        <f>IFERROR(_xlfn.XLOOKUP($D369,'Modelling New'!$D:$D,'Modelling New'!$J:$J),"")</f>
        <v>4.5999999999999996</v>
      </c>
      <c r="AD369" s="123">
        <f>IFERROR(_xlfn.XLOOKUP($D369,'Modelling New'!$D:$D,'Modelling New'!$T:$T)*1000,"")</f>
        <v>221156.23146397382</v>
      </c>
      <c r="AE369" s="140"/>
      <c r="AF369" s="140">
        <f>IFERROR(_xlfn.XLOOKUP($D369,'Modelling New'!$D:$D,'Modelling New'!$W:$W),"")</f>
        <v>0.11813901253417405</v>
      </c>
      <c r="AG369" s="140">
        <f>IFERROR(_xlfn.XLOOKUP($D369,'Modelling New'!$D:$D,'Modelling New'!$AE:$AE),"")</f>
        <v>0.96029999999999993</v>
      </c>
      <c r="AH369" s="140">
        <f>IFERROR(_xlfn.XLOOKUP($D369,'Modelling New'!$D:$D,'Modelling New'!$AF:$AF),"")</f>
        <v>0.995</v>
      </c>
      <c r="AI369" s="121" t="str">
        <f>IFERROR(_xlfn.XLOOKUP($A369,Input_Raw!$A:$A,Input_Raw!$DE:$DE),"")</f>
        <v/>
      </c>
      <c r="AJ369" s="121"/>
      <c r="AK369" s="121"/>
      <c r="AL369" s="121"/>
      <c r="AM369" s="121"/>
      <c r="AN369" s="142" t="str">
        <f>IFERROR(_xlfn.XLOOKUP($A369,Input_Raw!$A:$A,Input_Raw!$DB:$DB),"")</f>
        <v/>
      </c>
      <c r="AO369" s="140" t="str">
        <f>IFERROR((_xlfn.XLOOKUP($A369,'WTG Reactive Power'!$A:$A,'WTG Reactive Power'!$AR:$AR))/X369/1000,"")</f>
        <v/>
      </c>
      <c r="AP369" s="140">
        <f>IFERROR(_xlfn.XLOOKUP($D369,'Modelling New'!$D:$D,'Modelling New'!$AK:$AK),"")</f>
        <v>0.05</v>
      </c>
      <c r="AQ369" s="140">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B100" activePane="bottomRight" state="frozen"/>
      <selection pane="topRight" activeCell="B1" sqref="B1"/>
      <selection pane="bottomLeft" activeCell="A5" sqref="A5"/>
      <selection pane="bottomRight" activeCell="DH108" sqref="DH108"/>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38" max="38" width="13.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99" t="s">
        <v>375</v>
      </c>
      <c r="DD4" s="100" t="s">
        <v>376</v>
      </c>
      <c r="DE4" s="100" t="s">
        <v>377</v>
      </c>
      <c r="DF4" s="100" t="s">
        <v>378</v>
      </c>
      <c r="DG4" s="100" t="s">
        <v>379</v>
      </c>
      <c r="DH4" s="100"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102">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105" t="e">
        <f>IF(((Input_Raw[[#This Row],[33 kV_Wind_F1_Export reading]]-#REF!)*1200)&gt;0,(Input_Raw[[#This Row],[33 kV_Wind_F1_Export reading]]-#REF!)*1200,0)</f>
        <v>#REF!</v>
      </c>
      <c r="CS5" s="105" t="e">
        <f>IF(((Input_Raw[[#This Row],[33 kV_Wind_F1_Import reading]]-#REF!)*1200)&gt;0,(Input_Raw[[#This Row],[33 kV_Wind_F1_Import reading]]-#REF!)*1200,0)</f>
        <v>#REF!</v>
      </c>
      <c r="CT5" s="105" t="e">
        <f>IF(((Input_Raw[[#This Row],[33 kV_Wind_F2_Export_reading]]-#REF!)*1200)&gt;0,(Input_Raw[[#This Row],[33 kV_Wind_F2_Export_reading]]-#REF!)*1200,0)</f>
        <v>#REF!</v>
      </c>
      <c r="CU5" s="105" t="e">
        <f>IF(((Input_Raw[[#This Row],[33 kV_Wind_F2_Import_reading]]-#REF!)*1200)&gt;0,(Input_Raw[[#This Row],[33 kV_Wind_F2_Import_reading]]-#REF!)*1200,0)</f>
        <v>#REF!</v>
      </c>
      <c r="CV5" s="105" t="e">
        <f>IF(((Input_Raw[[#This Row],[33 kV_Wind_F3_Export_Reading]]-#REF!)*1200)&gt;0,(Input_Raw[[#This Row],[33 kV_Wind_F3_Export_Reading]]-#REF!)*1200,0)</f>
        <v>#REF!</v>
      </c>
      <c r="CW5" s="105" t="e">
        <f>IF(((Input_Raw[[#This Row],[33 kV_Wind_F3_Import_Reading]]-#REF!)*1200)&gt;0,(Input_Raw[[#This Row],[33 kV_Wind_F3_Import_Reading]]-#REF!)*1200,0)</f>
        <v>#REF!</v>
      </c>
      <c r="CX5" s="105" t="e">
        <f>IF(((Input_Raw[[#This Row],[33 kV_Wind_F4_Export Reading]]-#REF!)*1200)&gt;0,(Input_Raw[[#This Row],[33 kV_Wind_F4_Export Reading]]-#REF!)*1200,0)</f>
        <v>#REF!</v>
      </c>
      <c r="CY5" s="105" t="e">
        <f>IF(((Input_Raw[[#This Row],[33 kV_Wind_F4_Import Reading]]-#REF!)*1200)&gt;0,(Input_Raw[[#This Row],[33 kV_Wind_F4_Import Reading]]-#REF!)*1200,0)</f>
        <v>#REF!</v>
      </c>
      <c r="CZ5" s="105" t="e">
        <f>Input_Raw[[#This Row],[33 kV_F1_Total_Export (KWh)]]+Input_Raw[[#This Row],[33 kV_F2_Total_Export (KWh)2]]+Input_Raw[[#This Row],[33 kV_Wind_F3_Export (KWh)]]+Input_Raw[[#This Row],[33 kV_Wind_F4_Export (KWh)]]</f>
        <v>#REF!</v>
      </c>
      <c r="DA5" s="105"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101">
        <v>0</v>
      </c>
      <c r="DD5" s="104">
        <v>0</v>
      </c>
      <c r="DE5" s="118"/>
      <c r="DF5" s="115"/>
      <c r="DG5" s="117">
        <v>80</v>
      </c>
      <c r="DH5" s="115"/>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102">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105">
        <f>IF(((Input_Raw[[#This Row],[33 kV_Wind_F1_Export reading]]-CJ5)*1200)&gt;0,(Input_Raw[[#This Row],[33 kV_Wind_F1_Export reading]]-CJ5)*1200,0)</f>
        <v>21600</v>
      </c>
      <c r="CS6" s="105">
        <f>IF(((Input_Raw[[#This Row],[33 kV_Wind_F1_Import reading]]-CK5)*1200)&gt;0,(Input_Raw[[#This Row],[33 kV_Wind_F1_Import reading]]-CK5)*1200,0)</f>
        <v>1200</v>
      </c>
      <c r="CT6" s="105">
        <f>IF(((Input_Raw[[#This Row],[33 kV_Wind_F2_Export_reading]]-CL5)*1200)&gt;0,(Input_Raw[[#This Row],[33 kV_Wind_F2_Export_reading]]-CL5)*1200,0)</f>
        <v>25200</v>
      </c>
      <c r="CU6" s="105">
        <f>IF(((Input_Raw[[#This Row],[33 kV_Wind_F2_Import_reading]]-CM5)*1200)&gt;0,(Input_Raw[[#This Row],[33 kV_Wind_F2_Import_reading]]-CM5)*1200,0)</f>
        <v>1200</v>
      </c>
      <c r="CV6" s="105">
        <f>IF(((Input_Raw[[#This Row],[33 kV_Wind_F3_Export_Reading]]-CN5)*1200)&gt;0,(Input_Raw[[#This Row],[33 kV_Wind_F3_Export_Reading]]-CN5)*1200,0)</f>
        <v>26400</v>
      </c>
      <c r="CW6" s="105">
        <f>IF(((Input_Raw[[#This Row],[33 kV_Wind_F3_Import_Reading]]-CO5)*1200)&gt;0,(Input_Raw[[#This Row],[33 kV_Wind_F3_Import_Reading]]-CO5)*1200,0)</f>
        <v>1200</v>
      </c>
      <c r="CX6" s="105">
        <f>IF(((Input_Raw[[#This Row],[33 kV_Wind_F4_Export Reading]]-CP5)*1200)&gt;0,(Input_Raw[[#This Row],[33 kV_Wind_F4_Export Reading]]-CP5)*1200,0)</f>
        <v>26400</v>
      </c>
      <c r="CY6" s="105">
        <f>IF(((Input_Raw[[#This Row],[33 kV_Wind_F4_Import Reading]]-CQ5)*1200)&gt;0,(Input_Raw[[#This Row],[33 kV_Wind_F4_Import Reading]]-CQ5)*1200,0)</f>
        <v>1200</v>
      </c>
      <c r="CZ6" s="105">
        <f>Input_Raw[[#This Row],[33 kV_F1_Total_Export (KWh)]]+Input_Raw[[#This Row],[33 kV_F2_Total_Export (KWh)2]]+Input_Raw[[#This Row],[33 kV_Wind_F3_Export (KWh)]]+Input_Raw[[#This Row],[33 kV_Wind_F4_Export (KWh)]]</f>
        <v>99600</v>
      </c>
      <c r="DA6" s="105">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101">
        <v>96</v>
      </c>
      <c r="DD6" s="104">
        <v>2931</v>
      </c>
      <c r="DE6" s="118"/>
      <c r="DF6" s="115"/>
      <c r="DG6" s="117">
        <v>80</v>
      </c>
      <c r="DH6" s="115"/>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105">
        <f>IF(((Input_Raw[[#This Row],[33 kV_Wind_F1_Export reading]]-CJ6)*1200)&gt;0,(Input_Raw[[#This Row],[33 kV_Wind_F1_Export reading]]-CJ6)*1200,0)</f>
        <v>49200</v>
      </c>
      <c r="CS7" s="105">
        <f>IF(((Input_Raw[[#This Row],[33 kV_Wind_F1_Import reading]]-CK6)*1200)&gt;0,(Input_Raw[[#This Row],[33 kV_Wind_F1_Import reading]]-CK6)*1200,0)</f>
        <v>1200</v>
      </c>
      <c r="CT7" s="105">
        <f>IF(((Input_Raw[[#This Row],[33 kV_Wind_F2_Export_reading]]-CL6)*1200)&gt;0,(Input_Raw[[#This Row],[33 kV_Wind_F2_Export_reading]]-CL6)*1200,0)</f>
        <v>25200</v>
      </c>
      <c r="CU7" s="105">
        <f>IF(((Input_Raw[[#This Row],[33 kV_Wind_F2_Import_reading]]-CM6)*1200)&gt;0,(Input_Raw[[#This Row],[33 kV_Wind_F2_Import_reading]]-CM6)*1200,0)</f>
        <v>0</v>
      </c>
      <c r="CV7" s="105">
        <f>IF(((Input_Raw[[#This Row],[33 kV_Wind_F3_Export_Reading]]-CN6)*1200)&gt;0,(Input_Raw[[#This Row],[33 kV_Wind_F3_Export_Reading]]-CN6)*1200,0)</f>
        <v>84000</v>
      </c>
      <c r="CW7" s="105">
        <f>IF(((Input_Raw[[#This Row],[33 kV_Wind_F3_Import_Reading]]-CO6)*1200)&gt;0,(Input_Raw[[#This Row],[33 kV_Wind_F3_Import_Reading]]-CO6)*1200,0)</f>
        <v>0</v>
      </c>
      <c r="CX7" s="105">
        <f>IF(((Input_Raw[[#This Row],[33 kV_Wind_F4_Export Reading]]-CP6)*1200)&gt;0,(Input_Raw[[#This Row],[33 kV_Wind_F4_Export Reading]]-CP6)*1200,0)</f>
        <v>92400</v>
      </c>
      <c r="CY7" s="105">
        <f>IF(((Input_Raw[[#This Row],[33 kV_Wind_F4_Import Reading]]-CQ6)*1200)&gt;0,(Input_Raw[[#This Row],[33 kV_Wind_F4_Import Reading]]-CQ6)*1200,0)</f>
        <v>1200</v>
      </c>
      <c r="CZ7" s="105">
        <f>Input_Raw[[#This Row],[33 kV_F1_Total_Export (KWh)]]+Input_Raw[[#This Row],[33 kV_F2_Total_Export (KWh)2]]+Input_Raw[[#This Row],[33 kV_Wind_F3_Export (KWh)]]+Input_Raw[[#This Row],[33 kV_Wind_F4_Export (KWh)]]</f>
        <v>250800</v>
      </c>
      <c r="DA7" s="105">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101">
        <v>96</v>
      </c>
      <c r="DD7" s="104">
        <v>17068</v>
      </c>
      <c r="DE7" s="118"/>
      <c r="DF7" s="115"/>
      <c r="DG7" s="117">
        <v>80</v>
      </c>
      <c r="DH7" s="115"/>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102">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105">
        <f>IF(((Input_Raw[[#This Row],[33 kV_Wind_F1_Export reading]]-CJ7)*1200)&gt;0,(Input_Raw[[#This Row],[33 kV_Wind_F1_Export reading]]-CJ7)*1200,0)</f>
        <v>54000</v>
      </c>
      <c r="CS8" s="105">
        <f>IF(((Input_Raw[[#This Row],[33 kV_Wind_F1_Import reading]]-CK7)*1200)&gt;0,(Input_Raw[[#This Row],[33 kV_Wind_F1_Import reading]]-CK7)*1200,0)</f>
        <v>1200</v>
      </c>
      <c r="CT8" s="105">
        <f>IF(((Input_Raw[[#This Row],[33 kV_Wind_F2_Export_reading]]-CL7)*1200)&gt;0,(Input_Raw[[#This Row],[33 kV_Wind_F2_Export_reading]]-CL7)*1200,0)</f>
        <v>40800</v>
      </c>
      <c r="CU8" s="105">
        <f>IF(((Input_Raw[[#This Row],[33 kV_Wind_F2_Import_reading]]-CM7)*1200)&gt;0,(Input_Raw[[#This Row],[33 kV_Wind_F2_Import_reading]]-CM7)*1200,0)</f>
        <v>1200</v>
      </c>
      <c r="CV8" s="105">
        <f>IF(((Input_Raw[[#This Row],[33 kV_Wind_F3_Export_Reading]]-CN7)*1200)&gt;0,(Input_Raw[[#This Row],[33 kV_Wind_F3_Export_Reading]]-CN7)*1200,0)</f>
        <v>52800</v>
      </c>
      <c r="CW8" s="105">
        <f>IF(((Input_Raw[[#This Row],[33 kV_Wind_F3_Import_Reading]]-CO7)*1200)&gt;0,(Input_Raw[[#This Row],[33 kV_Wind_F3_Import_Reading]]-CO7)*1200,0)</f>
        <v>1200</v>
      </c>
      <c r="CX8" s="105">
        <f>IF(((Input_Raw[[#This Row],[33 kV_Wind_F4_Export Reading]]-CP7)*1200)&gt;0,(Input_Raw[[#This Row],[33 kV_Wind_F4_Export Reading]]-CP7)*1200,0)</f>
        <v>55200</v>
      </c>
      <c r="CY8" s="105">
        <f>IF(((Input_Raw[[#This Row],[33 kV_Wind_F4_Import Reading]]-CQ7)*1200)&gt;0,(Input_Raw[[#This Row],[33 kV_Wind_F4_Import Reading]]-CQ7)*1200,0)</f>
        <v>0</v>
      </c>
      <c r="CZ8" s="105">
        <f>Input_Raw[[#This Row],[33 kV_F1_Total_Export (KWh)]]+Input_Raw[[#This Row],[33 kV_F2_Total_Export (KWh)2]]+Input_Raw[[#This Row],[33 kV_Wind_F3_Export (KWh)]]+Input_Raw[[#This Row],[33 kV_Wind_F4_Export (KWh)]]</f>
        <v>202800</v>
      </c>
      <c r="DA8" s="105">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101">
        <v>96</v>
      </c>
      <c r="DD8" s="104">
        <v>12280</v>
      </c>
      <c r="DE8" s="118">
        <v>217.953</v>
      </c>
      <c r="DF8" s="115"/>
      <c r="DG8" s="117">
        <v>78</v>
      </c>
      <c r="DH8" s="115"/>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102">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105">
        <f>IF(((Input_Raw[[#This Row],[33 kV_Wind_F1_Export reading]]-CJ8)*1200)&gt;0,(Input_Raw[[#This Row],[33 kV_Wind_F1_Export reading]]-CJ8)*1200,0)</f>
        <v>99600</v>
      </c>
      <c r="CS9" s="105">
        <f>IF(((Input_Raw[[#This Row],[33 kV_Wind_F1_Import reading]]-CK8)*1200)&gt;0,(Input_Raw[[#This Row],[33 kV_Wind_F1_Import reading]]-CK8)*1200,0)</f>
        <v>0</v>
      </c>
      <c r="CT9" s="105">
        <f>IF(((Input_Raw[[#This Row],[33 kV_Wind_F2_Export_reading]]-CL8)*1200)&gt;0,(Input_Raw[[#This Row],[33 kV_Wind_F2_Export_reading]]-CL8)*1200,0)</f>
        <v>80400</v>
      </c>
      <c r="CU9" s="105">
        <f>IF(((Input_Raw[[#This Row],[33 kV_Wind_F2_Import_reading]]-CM8)*1200)&gt;0,(Input_Raw[[#This Row],[33 kV_Wind_F2_Import_reading]]-CM8)*1200,0)</f>
        <v>0</v>
      </c>
      <c r="CV9" s="105">
        <f>IF(((Input_Raw[[#This Row],[33 kV_Wind_F3_Export_Reading]]-CN8)*1200)&gt;0,(Input_Raw[[#This Row],[33 kV_Wind_F3_Export_Reading]]-CN8)*1200,0)</f>
        <v>100800</v>
      </c>
      <c r="CW9" s="105">
        <f>IF(((Input_Raw[[#This Row],[33 kV_Wind_F3_Import_Reading]]-CO8)*1200)&gt;0,(Input_Raw[[#This Row],[33 kV_Wind_F3_Import_Reading]]-CO8)*1200,0)</f>
        <v>0</v>
      </c>
      <c r="CX9" s="105">
        <f>IF(((Input_Raw[[#This Row],[33 kV_Wind_F4_Export Reading]]-CP8)*1200)&gt;0,(Input_Raw[[#This Row],[33 kV_Wind_F4_Export Reading]]-CP8)*1200,0)</f>
        <v>138000</v>
      </c>
      <c r="CY9" s="105">
        <f>IF(((Input_Raw[[#This Row],[33 kV_Wind_F4_Import Reading]]-CQ8)*1200)&gt;0,(Input_Raw[[#This Row],[33 kV_Wind_F4_Import Reading]]-CQ8)*1200,0)</f>
        <v>0</v>
      </c>
      <c r="CZ9" s="105">
        <f>Input_Raw[[#This Row],[33 kV_F1_Total_Export (KWh)]]+Input_Raw[[#This Row],[33 kV_F2_Total_Export (KWh)2]]+Input_Raw[[#This Row],[33 kV_Wind_F3_Export (KWh)]]+Input_Raw[[#This Row],[33 kV_Wind_F4_Export (KWh)]]</f>
        <v>418800</v>
      </c>
      <c r="DA9" s="105">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101">
        <v>96</v>
      </c>
      <c r="DD9" s="104">
        <v>47311</v>
      </c>
      <c r="DE9" s="118">
        <v>422.85899999999998</v>
      </c>
      <c r="DF9" s="115"/>
      <c r="DG9" s="117">
        <v>78</v>
      </c>
      <c r="DH9" s="115"/>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102">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105">
        <f>IF(((Input_Raw[[#This Row],[33 kV_Wind_F1_Export reading]]-CJ9)*1200)&gt;0,(Input_Raw[[#This Row],[33 kV_Wind_F1_Export reading]]-CJ9)*1200,0)</f>
        <v>57600</v>
      </c>
      <c r="CS10" s="105">
        <f>IF(((Input_Raw[[#This Row],[33 kV_Wind_F1_Import reading]]-CK9)*1200)&gt;0,(Input_Raw[[#This Row],[33 kV_Wind_F1_Import reading]]-CK9)*1200,0)</f>
        <v>1200</v>
      </c>
      <c r="CT10" s="105">
        <f>IF(((Input_Raw[[#This Row],[33 kV_Wind_F2_Export_reading]]-CL9)*1200)&gt;0,(Input_Raw[[#This Row],[33 kV_Wind_F2_Export_reading]]-CL9)*1200,0)</f>
        <v>56400</v>
      </c>
      <c r="CU10" s="105">
        <f>IF(((Input_Raw[[#This Row],[33 kV_Wind_F2_Import_reading]]-CM9)*1200)&gt;0,(Input_Raw[[#This Row],[33 kV_Wind_F2_Import_reading]]-CM9)*1200,0)</f>
        <v>0</v>
      </c>
      <c r="CV10" s="105">
        <f>IF(((Input_Raw[[#This Row],[33 kV_Wind_F3_Export_Reading]]-CN9)*1200)&gt;0,(Input_Raw[[#This Row],[33 kV_Wind_F3_Export_Reading]]-CN9)*1200,0)</f>
        <v>49200</v>
      </c>
      <c r="CW10" s="105">
        <f>IF(((Input_Raw[[#This Row],[33 kV_Wind_F3_Import_Reading]]-CO9)*1200)&gt;0,(Input_Raw[[#This Row],[33 kV_Wind_F3_Import_Reading]]-CO9)*1200,0)</f>
        <v>1200</v>
      </c>
      <c r="CX10" s="105">
        <f>IF(((Input_Raw[[#This Row],[33 kV_Wind_F4_Export Reading]]-CP9)*1200)&gt;0,(Input_Raw[[#This Row],[33 kV_Wind_F4_Export Reading]]-CP9)*1200,0)</f>
        <v>87600</v>
      </c>
      <c r="CY10" s="105">
        <f>IF(((Input_Raw[[#This Row],[33 kV_Wind_F4_Import Reading]]-CQ9)*1200)&gt;0,(Input_Raw[[#This Row],[33 kV_Wind_F4_Import Reading]]-CQ9)*1200,0)</f>
        <v>1200</v>
      </c>
      <c r="CZ10" s="105">
        <f>Input_Raw[[#This Row],[33 kV_F1_Total_Export (KWh)]]+Input_Raw[[#This Row],[33 kV_F2_Total_Export (KWh)2]]+Input_Raw[[#This Row],[33 kV_Wind_F3_Export (KWh)]]+Input_Raw[[#This Row],[33 kV_Wind_F4_Export (KWh)]]</f>
        <v>250800</v>
      </c>
      <c r="DA10" s="105">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101">
        <v>96</v>
      </c>
      <c r="DD10" s="104">
        <v>16092</v>
      </c>
      <c r="DE10" s="118">
        <v>255.178</v>
      </c>
      <c r="DF10" s="115"/>
      <c r="DG10" s="117">
        <v>78</v>
      </c>
      <c r="DH10" s="115"/>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102">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105">
        <f>IF(((Input_Raw[[#This Row],[33 kV_Wind_F1_Export reading]]-CJ10)*1200)&gt;0,(Input_Raw[[#This Row],[33 kV_Wind_F1_Export reading]]-CJ10)*1200,0)</f>
        <v>38400</v>
      </c>
      <c r="CS11" s="105">
        <f>IF(((Input_Raw[[#This Row],[33 kV_Wind_F1_Import reading]]-CK10)*1200)&gt;0,(Input_Raw[[#This Row],[33 kV_Wind_F1_Import reading]]-CK10)*1200,0)</f>
        <v>1200</v>
      </c>
      <c r="CT11" s="105">
        <f>IF(((Input_Raw[[#This Row],[33 kV_Wind_F2_Export_reading]]-CL10)*1200)&gt;0,(Input_Raw[[#This Row],[33 kV_Wind_F2_Export_reading]]-CL10)*1200,0)</f>
        <v>34800</v>
      </c>
      <c r="CU11" s="105">
        <f>IF(((Input_Raw[[#This Row],[33 kV_Wind_F2_Import_reading]]-CM10)*1200)&gt;0,(Input_Raw[[#This Row],[33 kV_Wind_F2_Import_reading]]-CM10)*1200,0)</f>
        <v>1200</v>
      </c>
      <c r="CV11" s="105">
        <f>IF(((Input_Raw[[#This Row],[33 kV_Wind_F3_Export_Reading]]-CN10)*1200)&gt;0,(Input_Raw[[#This Row],[33 kV_Wind_F3_Export_Reading]]-CN10)*1200,0)</f>
        <v>33600</v>
      </c>
      <c r="CW11" s="105">
        <f>IF(((Input_Raw[[#This Row],[33 kV_Wind_F3_Import_Reading]]-CO10)*1200)&gt;0,(Input_Raw[[#This Row],[33 kV_Wind_F3_Import_Reading]]-CO10)*1200,0)</f>
        <v>0</v>
      </c>
      <c r="CX11" s="105">
        <f>IF(((Input_Raw[[#This Row],[33 kV_Wind_F4_Export Reading]]-CP10)*1200)&gt;0,(Input_Raw[[#This Row],[33 kV_Wind_F4_Export Reading]]-CP10)*1200,0)</f>
        <v>37200</v>
      </c>
      <c r="CY11" s="105">
        <f>IF(((Input_Raw[[#This Row],[33 kV_Wind_F4_Import Reading]]-CQ10)*1200)&gt;0,(Input_Raw[[#This Row],[33 kV_Wind_F4_Import Reading]]-CQ10)*1200,0)</f>
        <v>1200</v>
      </c>
      <c r="CZ11" s="105">
        <f>Input_Raw[[#This Row],[33 kV_F1_Total_Export (KWh)]]+Input_Raw[[#This Row],[33 kV_F2_Total_Export (KWh)2]]+Input_Raw[[#This Row],[33 kV_Wind_F3_Export (KWh)]]+Input_Raw[[#This Row],[33 kV_Wind_F4_Export (KWh)]]</f>
        <v>144000</v>
      </c>
      <c r="DA11" s="105">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101">
        <v>96</v>
      </c>
      <c r="DD11" s="104">
        <v>38147</v>
      </c>
      <c r="DE11" s="118">
        <v>165.1</v>
      </c>
      <c r="DF11" s="115"/>
      <c r="DG11" s="117">
        <v>78</v>
      </c>
      <c r="DH11" s="115"/>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105">
        <f>IF(((Input_Raw[[#This Row],[33 kV_Wind_F1_Export reading]]-CJ11)*1200)&gt;0,(Input_Raw[[#This Row],[33 kV_Wind_F1_Export reading]]-CJ11)*1200,0)</f>
        <v>27600</v>
      </c>
      <c r="CS12" s="105">
        <f>IF(((Input_Raw[[#This Row],[33 kV_Wind_F1_Import reading]]-CK11)*1200)&gt;0,(Input_Raw[[#This Row],[33 kV_Wind_F1_Import reading]]-CK11)*1200,0)</f>
        <v>1200</v>
      </c>
      <c r="CT12" s="105">
        <f>IF(((Input_Raw[[#This Row],[33 kV_Wind_F2_Export_reading]]-CL11)*1200)&gt;0,(Input_Raw[[#This Row],[33 kV_Wind_F2_Export_reading]]-CL11)*1200,0)</f>
        <v>19200</v>
      </c>
      <c r="CU12" s="105">
        <f>IF(((Input_Raw[[#This Row],[33 kV_Wind_F2_Import_reading]]-CM11)*1200)&gt;0,(Input_Raw[[#This Row],[33 kV_Wind_F2_Import_reading]]-CM11)*1200,0)</f>
        <v>1200</v>
      </c>
      <c r="CV12" s="105">
        <f>IF(((Input_Raw[[#This Row],[33 kV_Wind_F3_Export_Reading]]-CN11)*1200)&gt;0,(Input_Raw[[#This Row],[33 kV_Wind_F3_Export_Reading]]-CN11)*1200,0)</f>
        <v>14400</v>
      </c>
      <c r="CW12" s="105">
        <f>IF(((Input_Raw[[#This Row],[33 kV_Wind_F3_Import_Reading]]-CO11)*1200)&gt;0,(Input_Raw[[#This Row],[33 kV_Wind_F3_Import_Reading]]-CO11)*1200,0)</f>
        <v>1200</v>
      </c>
      <c r="CX12" s="105">
        <f>IF(((Input_Raw[[#This Row],[33 kV_Wind_F4_Export Reading]]-CP11)*1200)&gt;0,(Input_Raw[[#This Row],[33 kV_Wind_F4_Export Reading]]-CP11)*1200,0)</f>
        <v>14400</v>
      </c>
      <c r="CY12" s="105">
        <f>IF(((Input_Raw[[#This Row],[33 kV_Wind_F4_Import Reading]]-CQ11)*1200)&gt;0,(Input_Raw[[#This Row],[33 kV_Wind_F4_Import Reading]]-CQ11)*1200,0)</f>
        <v>1200</v>
      </c>
      <c r="CZ12" s="105">
        <f>Input_Raw[[#This Row],[33 kV_F1_Total_Export (KWh)]]+Input_Raw[[#This Row],[33 kV_F2_Total_Export (KWh)2]]+Input_Raw[[#This Row],[33 kV_Wind_F3_Export (KWh)]]+Input_Raw[[#This Row],[33 kV_Wind_F4_Export (KWh)]]</f>
        <v>75600</v>
      </c>
      <c r="DA12" s="105">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101">
        <v>96</v>
      </c>
      <c r="DD12" s="104">
        <v>5488</v>
      </c>
      <c r="DE12" s="118">
        <v>77.212000000000003</v>
      </c>
      <c r="DF12" s="115"/>
      <c r="DG12" s="117">
        <v>78</v>
      </c>
      <c r="DH12" s="115"/>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105">
        <f>IF(((Input_Raw[[#This Row],[33 kV_Wind_F1_Export reading]]-CJ12)*1200)&gt;0,(Input_Raw[[#This Row],[33 kV_Wind_F1_Export reading]]-CJ12)*1200,0)</f>
        <v>27600</v>
      </c>
      <c r="CS13" s="105">
        <f>IF(((Input_Raw[[#This Row],[33 kV_Wind_F1_Import reading]]-CK12)*1200)&gt;0,(Input_Raw[[#This Row],[33 kV_Wind_F1_Import reading]]-CK12)*1200,0)</f>
        <v>1200</v>
      </c>
      <c r="CT13" s="105">
        <f>IF(((Input_Raw[[#This Row],[33 kV_Wind_F2_Export_reading]]-CL12)*1200)&gt;0,(Input_Raw[[#This Row],[33 kV_Wind_F2_Export_reading]]-CL12)*1200,0)</f>
        <v>22800</v>
      </c>
      <c r="CU13" s="105">
        <f>IF(((Input_Raw[[#This Row],[33 kV_Wind_F2_Import_reading]]-CM12)*1200)&gt;0,(Input_Raw[[#This Row],[33 kV_Wind_F2_Import_reading]]-CM12)*1200,0)</f>
        <v>1200</v>
      </c>
      <c r="CV13" s="105">
        <f>IF(((Input_Raw[[#This Row],[33 kV_Wind_F3_Export_Reading]]-CN12)*1200)&gt;0,(Input_Raw[[#This Row],[33 kV_Wind_F3_Export_Reading]]-CN12)*1200,0)</f>
        <v>27600</v>
      </c>
      <c r="CW13" s="105">
        <f>IF(((Input_Raw[[#This Row],[33 kV_Wind_F3_Import_Reading]]-CO12)*1200)&gt;0,(Input_Raw[[#This Row],[33 kV_Wind_F3_Import_Reading]]-CO12)*1200,0)</f>
        <v>1200</v>
      </c>
      <c r="CX13" s="105">
        <f>IF(((Input_Raw[[#This Row],[33 kV_Wind_F4_Export Reading]]-CP12)*1200)&gt;0,(Input_Raw[[#This Row],[33 kV_Wind_F4_Export Reading]]-CP12)*1200,0)</f>
        <v>26400</v>
      </c>
      <c r="CY13" s="105">
        <f>IF(((Input_Raw[[#This Row],[33 kV_Wind_F4_Import Reading]]-CQ12)*1200)&gt;0,(Input_Raw[[#This Row],[33 kV_Wind_F4_Import Reading]]-CQ12)*1200,0)</f>
        <v>0</v>
      </c>
      <c r="CZ13" s="105">
        <f>Input_Raw[[#This Row],[33 kV_F1_Total_Export (KWh)]]+Input_Raw[[#This Row],[33 kV_F2_Total_Export (KWh)2]]+Input_Raw[[#This Row],[33 kV_Wind_F3_Export (KWh)]]+Input_Raw[[#This Row],[33 kV_Wind_F4_Export (KWh)]]</f>
        <v>104400</v>
      </c>
      <c r="DA13" s="105">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101">
        <v>96</v>
      </c>
      <c r="DD13" s="104">
        <v>233</v>
      </c>
      <c r="DE13" s="118">
        <v>106.01900000000001</v>
      </c>
      <c r="DF13" s="115"/>
      <c r="DG13" s="117">
        <v>78</v>
      </c>
      <c r="DH13" s="115"/>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102">
        <v>0</v>
      </c>
      <c r="V14" s="15">
        <v>5120</v>
      </c>
      <c r="W14" s="15">
        <v>7232</v>
      </c>
      <c r="X14" s="15">
        <v>6608</v>
      </c>
      <c r="Y14" s="15">
        <v>9324</v>
      </c>
      <c r="Z14" s="15">
        <v>7629</v>
      </c>
      <c r="AA14" s="15">
        <v>7949</v>
      </c>
      <c r="AB14" s="15">
        <v>7329</v>
      </c>
      <c r="AC14" s="15">
        <v>7206</v>
      </c>
      <c r="AD14" s="15">
        <v>7220</v>
      </c>
      <c r="AE14" s="15">
        <v>7025</v>
      </c>
      <c r="AF14" s="15">
        <v>7807</v>
      </c>
      <c r="AG14" s="102">
        <v>0</v>
      </c>
      <c r="AH14" s="15">
        <v>7195</v>
      </c>
      <c r="AI14" s="15">
        <v>0</v>
      </c>
      <c r="AJ14" s="15">
        <v>7223</v>
      </c>
      <c r="AK14" s="15">
        <v>5906</v>
      </c>
      <c r="AL14" s="15">
        <v>6153</v>
      </c>
      <c r="AM14" s="15">
        <v>7858</v>
      </c>
      <c r="AN14" s="15">
        <v>6181</v>
      </c>
      <c r="AO14" s="15">
        <v>6848</v>
      </c>
      <c r="AP14" s="15">
        <v>6891</v>
      </c>
      <c r="AQ14" s="102">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105">
        <f>IF(((Input_Raw[[#This Row],[33 kV_Wind_F1_Export reading]]-CJ13)*1200)&gt;0,(Input_Raw[[#This Row],[33 kV_Wind_F1_Export reading]]-CJ13)*1200,0)</f>
        <v>63600</v>
      </c>
      <c r="CS14" s="105">
        <f>IF(((Input_Raw[[#This Row],[33 kV_Wind_F1_Import reading]]-CK13)*1200)&gt;0,(Input_Raw[[#This Row],[33 kV_Wind_F1_Import reading]]-CK13)*1200,0)</f>
        <v>0</v>
      </c>
      <c r="CT14" s="105">
        <f>IF(((Input_Raw[[#This Row],[33 kV_Wind_F2_Export_reading]]-CL13)*1200)&gt;0,(Input_Raw[[#This Row],[33 kV_Wind_F2_Export_reading]]-CL13)*1200,0)</f>
        <v>55200</v>
      </c>
      <c r="CU14" s="105">
        <f>IF(((Input_Raw[[#This Row],[33 kV_Wind_F2_Import_reading]]-CM13)*1200)&gt;0,(Input_Raw[[#This Row],[33 kV_Wind_F2_Import_reading]]-CM13)*1200,0)</f>
        <v>0</v>
      </c>
      <c r="CV14" s="105">
        <f>IF(((Input_Raw[[#This Row],[33 kV_Wind_F3_Export_Reading]]-CN13)*1200)&gt;0,(Input_Raw[[#This Row],[33 kV_Wind_F3_Export_Reading]]-CN13)*1200,0)</f>
        <v>49200</v>
      </c>
      <c r="CW14" s="105">
        <f>IF(((Input_Raw[[#This Row],[33 kV_Wind_F3_Import_Reading]]-CO13)*1200)&gt;0,(Input_Raw[[#This Row],[33 kV_Wind_F3_Import_Reading]]-CO13)*1200,0)</f>
        <v>1200</v>
      </c>
      <c r="CX14" s="105">
        <f>IF(((Input_Raw[[#This Row],[33 kV_Wind_F4_Export Reading]]-CP13)*1200)&gt;0,(Input_Raw[[#This Row],[33 kV_Wind_F4_Export Reading]]-CP13)*1200,0)</f>
        <v>54000</v>
      </c>
      <c r="CY14" s="105">
        <f>IF(((Input_Raw[[#This Row],[33 kV_Wind_F4_Import Reading]]-CQ13)*1200)&gt;0,(Input_Raw[[#This Row],[33 kV_Wind_F4_Import Reading]]-CQ13)*1200,0)</f>
        <v>1200</v>
      </c>
      <c r="CZ14" s="105">
        <f>Input_Raw[[#This Row],[33 kV_F1_Total_Export (KWh)]]+Input_Raw[[#This Row],[33 kV_F2_Total_Export (KWh)2]]+Input_Raw[[#This Row],[33 kV_Wind_F3_Export (KWh)]]+Input_Raw[[#This Row],[33 kV_Wind_F4_Export (KWh)]]</f>
        <v>222000</v>
      </c>
      <c r="DA14" s="105">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101">
        <v>96</v>
      </c>
      <c r="DD14" s="104">
        <v>5005</v>
      </c>
      <c r="DE14" s="118">
        <v>238.17599999999999</v>
      </c>
      <c r="DF14" s="115"/>
      <c r="DG14" s="117">
        <v>78</v>
      </c>
      <c r="DH14" s="115"/>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102">
        <v>0</v>
      </c>
      <c r="V15" s="15">
        <v>5408</v>
      </c>
      <c r="W15" s="15">
        <v>5168</v>
      </c>
      <c r="X15" s="15">
        <v>5578</v>
      </c>
      <c r="Y15" s="15">
        <v>6118</v>
      </c>
      <c r="Z15" s="15">
        <v>4592</v>
      </c>
      <c r="AA15" s="15">
        <v>4328</v>
      </c>
      <c r="AB15" s="15">
        <v>4704</v>
      </c>
      <c r="AC15" s="15">
        <v>4450</v>
      </c>
      <c r="AD15" s="15">
        <v>3958</v>
      </c>
      <c r="AE15" s="15">
        <v>4076</v>
      </c>
      <c r="AF15" s="15">
        <v>3910</v>
      </c>
      <c r="AG15" s="102">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105">
        <f>IF(((Input_Raw[[#This Row],[33 kV_Wind_F1_Export reading]]-CJ14)*1200)&gt;0,(Input_Raw[[#This Row],[33 kV_Wind_F1_Export reading]]-CJ14)*1200,0)</f>
        <v>40800</v>
      </c>
      <c r="CS15" s="105">
        <f>IF(((Input_Raw[[#This Row],[33 kV_Wind_F1_Import reading]]-CK14)*1200)&gt;0,(Input_Raw[[#This Row],[33 kV_Wind_F1_Import reading]]-CK14)*1200,0)</f>
        <v>1200</v>
      </c>
      <c r="CT15" s="105">
        <f>IF(((Input_Raw[[#This Row],[33 kV_Wind_F2_Export_reading]]-CL14)*1200)&gt;0,(Input_Raw[[#This Row],[33 kV_Wind_F2_Export_reading]]-CL14)*1200,0)</f>
        <v>33600</v>
      </c>
      <c r="CU15" s="105">
        <f>IF(((Input_Raw[[#This Row],[33 kV_Wind_F2_Import_reading]]-CM14)*1200)&gt;0,(Input_Raw[[#This Row],[33 kV_Wind_F2_Import_reading]]-CM14)*1200,0)</f>
        <v>1200</v>
      </c>
      <c r="CV15" s="105">
        <f>IF(((Input_Raw[[#This Row],[33 kV_Wind_F3_Export_Reading]]-CN14)*1200)&gt;0,(Input_Raw[[#This Row],[33 kV_Wind_F3_Export_Reading]]-CN14)*1200,0)</f>
        <v>38400</v>
      </c>
      <c r="CW15" s="105">
        <f>IF(((Input_Raw[[#This Row],[33 kV_Wind_F3_Import_Reading]]-CO14)*1200)&gt;0,(Input_Raw[[#This Row],[33 kV_Wind_F3_Import_Reading]]-CO14)*1200,0)</f>
        <v>1200</v>
      </c>
      <c r="CX15" s="105">
        <f>IF(((Input_Raw[[#This Row],[33 kV_Wind_F4_Export Reading]]-CP14)*1200)&gt;0,(Input_Raw[[#This Row],[33 kV_Wind_F4_Export Reading]]-CP14)*1200,0)</f>
        <v>37200</v>
      </c>
      <c r="CY15" s="105">
        <f>IF(((Input_Raw[[#This Row],[33 kV_Wind_F4_Import Reading]]-CQ14)*1200)&gt;0,(Input_Raw[[#This Row],[33 kV_Wind_F4_Import Reading]]-CQ14)*1200,0)</f>
        <v>1200</v>
      </c>
      <c r="CZ15" s="105">
        <f>Input_Raw[[#This Row],[33 kV_F1_Total_Export (KWh)]]+Input_Raw[[#This Row],[33 kV_F2_Total_Export (KWh)2]]+Input_Raw[[#This Row],[33 kV_Wind_F3_Export (KWh)]]+Input_Raw[[#This Row],[33 kV_Wind_F4_Export (KWh)]]</f>
        <v>150000</v>
      </c>
      <c r="DA15" s="105">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101">
        <v>96</v>
      </c>
      <c r="DD15" s="104">
        <v>4615</v>
      </c>
      <c r="DE15" s="118">
        <v>149.33000000000001</v>
      </c>
      <c r="DF15" s="115"/>
      <c r="DG15" s="117">
        <v>78</v>
      </c>
      <c r="DH15" s="115"/>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102">
        <v>0</v>
      </c>
      <c r="AH16" s="15">
        <v>9794</v>
      </c>
      <c r="AI16" s="15">
        <v>0</v>
      </c>
      <c r="AJ16" s="15">
        <v>7086</v>
      </c>
      <c r="AK16" s="15">
        <v>7543</v>
      </c>
      <c r="AL16" s="15">
        <v>8482</v>
      </c>
      <c r="AM16" s="15">
        <v>8556</v>
      </c>
      <c r="AN16" s="15">
        <v>9864</v>
      </c>
      <c r="AO16" s="15">
        <v>10140</v>
      </c>
      <c r="AP16" s="15">
        <v>7702</v>
      </c>
      <c r="AQ16" s="102">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105">
        <f>IF(((Input_Raw[[#This Row],[33 kV_Wind_F1_Export reading]]-CJ15)*1200)&gt;0,(Input_Raw[[#This Row],[33 kV_Wind_F1_Export reading]]-CJ15)*1200,0)</f>
        <v>82800</v>
      </c>
      <c r="CS16" s="105">
        <f>IF(((Input_Raw[[#This Row],[33 kV_Wind_F1_Import reading]]-CK15)*1200)&gt;0,(Input_Raw[[#This Row],[33 kV_Wind_F1_Import reading]]-CK15)*1200,0)</f>
        <v>1200</v>
      </c>
      <c r="CT16" s="105">
        <f>IF(((Input_Raw[[#This Row],[33 kV_Wind_F2_Export_reading]]-CL15)*1200)&gt;0,(Input_Raw[[#This Row],[33 kV_Wind_F2_Export_reading]]-CL15)*1200,0)</f>
        <v>74400</v>
      </c>
      <c r="CU16" s="105">
        <f>IF(((Input_Raw[[#This Row],[33 kV_Wind_F2_Import_reading]]-CM15)*1200)&gt;0,(Input_Raw[[#This Row],[33 kV_Wind_F2_Import_reading]]-CM15)*1200,0)</f>
        <v>1200</v>
      </c>
      <c r="CV16" s="105">
        <f>IF(((Input_Raw[[#This Row],[33 kV_Wind_F3_Export_Reading]]-CN15)*1200)&gt;0,(Input_Raw[[#This Row],[33 kV_Wind_F3_Export_Reading]]-CN15)*1200,0)</f>
        <v>69600</v>
      </c>
      <c r="CW16" s="105">
        <f>IF(((Input_Raw[[#This Row],[33 kV_Wind_F3_Import_Reading]]-CO15)*1200)&gt;0,(Input_Raw[[#This Row],[33 kV_Wind_F3_Import_Reading]]-CO15)*1200,0)</f>
        <v>0</v>
      </c>
      <c r="CX16" s="105">
        <f>IF(((Input_Raw[[#This Row],[33 kV_Wind_F4_Export Reading]]-CP15)*1200)&gt;0,(Input_Raw[[#This Row],[33 kV_Wind_F4_Export Reading]]-CP15)*1200,0)</f>
        <v>81600</v>
      </c>
      <c r="CY16" s="105">
        <f>IF(((Input_Raw[[#This Row],[33 kV_Wind_F4_Import Reading]]-CQ15)*1200)&gt;0,(Input_Raw[[#This Row],[33 kV_Wind_F4_Import Reading]]-CQ15)*1200,0)</f>
        <v>0</v>
      </c>
      <c r="CZ16" s="105">
        <f>Input_Raw[[#This Row],[33 kV_F1_Total_Export (KWh)]]+Input_Raw[[#This Row],[33 kV_F2_Total_Export (KWh)2]]+Input_Raw[[#This Row],[33 kV_Wind_F3_Export (KWh)]]+Input_Raw[[#This Row],[33 kV_Wind_F4_Export (KWh)]]</f>
        <v>308400</v>
      </c>
      <c r="DA16" s="105">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101">
        <v>96</v>
      </c>
      <c r="DD16" s="104">
        <v>91469</v>
      </c>
      <c r="DE16" s="118">
        <v>327.512</v>
      </c>
      <c r="DF16" s="115"/>
      <c r="DG16" s="117">
        <v>78</v>
      </c>
      <c r="DH16" s="115"/>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102">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105">
        <f>IF(((Input_Raw[[#This Row],[33 kV_Wind_F1_Export reading]]-CJ16)*1200)&gt;0,(Input_Raw[[#This Row],[33 kV_Wind_F1_Export reading]]-CJ16)*1200,0)</f>
        <v>140400</v>
      </c>
      <c r="CS17" s="105">
        <f>IF(((Input_Raw[[#This Row],[33 kV_Wind_F1_Import reading]]-CK16)*1200)&gt;0,(Input_Raw[[#This Row],[33 kV_Wind_F1_Import reading]]-CK16)*1200,0)</f>
        <v>0</v>
      </c>
      <c r="CT17" s="105">
        <f>IF(((Input_Raw[[#This Row],[33 kV_Wind_F2_Export_reading]]-CL16)*1200)&gt;0,(Input_Raw[[#This Row],[33 kV_Wind_F2_Export_reading]]-CL16)*1200,0)</f>
        <v>114000</v>
      </c>
      <c r="CU17" s="105">
        <f>IF(((Input_Raw[[#This Row],[33 kV_Wind_F2_Import_reading]]-CM16)*1200)&gt;0,(Input_Raw[[#This Row],[33 kV_Wind_F2_Import_reading]]-CM16)*1200,0)</f>
        <v>0</v>
      </c>
      <c r="CV17" s="105">
        <f>IF(((Input_Raw[[#This Row],[33 kV_Wind_F3_Export_Reading]]-CN16)*1200)&gt;0,(Input_Raw[[#This Row],[33 kV_Wind_F3_Export_Reading]]-CN16)*1200,0)</f>
        <v>128400</v>
      </c>
      <c r="CW17" s="105">
        <f>IF(((Input_Raw[[#This Row],[33 kV_Wind_F3_Import_Reading]]-CO16)*1200)&gt;0,(Input_Raw[[#This Row],[33 kV_Wind_F3_Import_Reading]]-CO16)*1200,0)</f>
        <v>1200</v>
      </c>
      <c r="CX17" s="105">
        <f>IF(((Input_Raw[[#This Row],[33 kV_Wind_F4_Export Reading]]-CP16)*1200)&gt;0,(Input_Raw[[#This Row],[33 kV_Wind_F4_Export Reading]]-CP16)*1200,0)</f>
        <v>130800</v>
      </c>
      <c r="CY17" s="105">
        <f>IF(((Input_Raw[[#This Row],[33 kV_Wind_F4_Import Reading]]-CQ16)*1200)&gt;0,(Input_Raw[[#This Row],[33 kV_Wind_F4_Import Reading]]-CQ16)*1200,0)</f>
        <v>1200</v>
      </c>
      <c r="CZ17" s="105">
        <f>Input_Raw[[#This Row],[33 kV_F1_Total_Export (KWh)]]+Input_Raw[[#This Row],[33 kV_F2_Total_Export (KWh)2]]+Input_Raw[[#This Row],[33 kV_Wind_F3_Export (KWh)]]+Input_Raw[[#This Row],[33 kV_Wind_F4_Export (KWh)]]</f>
        <v>513600</v>
      </c>
      <c r="DA17" s="105">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101">
        <v>96</v>
      </c>
      <c r="DD17" s="104">
        <v>97193</v>
      </c>
      <c r="DE17" s="118">
        <v>511</v>
      </c>
      <c r="DF17" s="115"/>
      <c r="DG17" s="117">
        <v>78</v>
      </c>
      <c r="DH17" s="184"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105">
        <f>IF(((Input_Raw[[#This Row],[33 kV_Wind_F1_Export reading]]-CJ17)*1200)&gt;0,(Input_Raw[[#This Row],[33 kV_Wind_F1_Export reading]]-CJ17)*1200,0)</f>
        <v>127200</v>
      </c>
      <c r="CS18" s="105">
        <f>IF(((Input_Raw[[#This Row],[33 kV_Wind_F1_Import reading]]-CK17)*1200)&gt;0,(Input_Raw[[#This Row],[33 kV_Wind_F1_Import reading]]-CK17)*1200,0)</f>
        <v>0</v>
      </c>
      <c r="CT18" s="105">
        <f>IF(((Input_Raw[[#This Row],[33 kV_Wind_F2_Export_reading]]-CL17)*1200)&gt;0,(Input_Raw[[#This Row],[33 kV_Wind_F2_Export_reading]]-CL17)*1200,0)</f>
        <v>117600</v>
      </c>
      <c r="CU18" s="105">
        <f>IF(((Input_Raw[[#This Row],[33 kV_Wind_F2_Import_reading]]-CM17)*1200)&gt;0,(Input_Raw[[#This Row],[33 kV_Wind_F2_Import_reading]]-CM17)*1200,0)</f>
        <v>0</v>
      </c>
      <c r="CV18" s="105">
        <f>IF(((Input_Raw[[#This Row],[33 kV_Wind_F3_Export_Reading]]-CN17)*1200)&gt;0,(Input_Raw[[#This Row],[33 kV_Wind_F3_Export_Reading]]-CN17)*1200,0)</f>
        <v>130800</v>
      </c>
      <c r="CW18" s="105">
        <f>IF(((Input_Raw[[#This Row],[33 kV_Wind_F3_Import_Reading]]-CO17)*1200)&gt;0,(Input_Raw[[#This Row],[33 kV_Wind_F3_Import_Reading]]-CO17)*1200,0)</f>
        <v>0</v>
      </c>
      <c r="CX18" s="105">
        <f>IF(((Input_Raw[[#This Row],[33 kV_Wind_F4_Export Reading]]-CP17)*1200)&gt;0,(Input_Raw[[#This Row],[33 kV_Wind_F4_Export Reading]]-CP17)*1200,0)</f>
        <v>135600</v>
      </c>
      <c r="CY18" s="105">
        <f>IF(((Input_Raw[[#This Row],[33 kV_Wind_F4_Import Reading]]-CQ17)*1200)&gt;0,(Input_Raw[[#This Row],[33 kV_Wind_F4_Import Reading]]-CQ17)*1200,0)</f>
        <v>0</v>
      </c>
      <c r="CZ18" s="105">
        <f>Input_Raw[[#This Row],[33 kV_F1_Total_Export (KWh)]]+Input_Raw[[#This Row],[33 kV_F2_Total_Export (KWh)2]]+Input_Raw[[#This Row],[33 kV_Wind_F3_Export (KWh)]]+Input_Raw[[#This Row],[33 kV_Wind_F4_Export (KWh)]]</f>
        <v>511200</v>
      </c>
      <c r="DA18" s="105">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101">
        <v>96</v>
      </c>
      <c r="DD18" s="104">
        <v>79804</v>
      </c>
      <c r="DE18" s="118">
        <v>514</v>
      </c>
      <c r="DF18" s="115"/>
      <c r="DG18" s="117">
        <v>78</v>
      </c>
      <c r="DH18" s="184"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102">
        <v>12593</v>
      </c>
      <c r="O19" s="15">
        <v>15603</v>
      </c>
      <c r="P19" s="15">
        <v>15493</v>
      </c>
      <c r="Q19" s="102">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105">
        <f>IF(((Input_Raw[[#This Row],[33 kV_Wind_F1_Export reading]]-CJ18)*1200)&gt;0,(Input_Raw[[#This Row],[33 kV_Wind_F1_Export reading]]-CJ18)*1200,0)</f>
        <v>106800</v>
      </c>
      <c r="CS19" s="105">
        <f>IF(((Input_Raw[[#This Row],[33 kV_Wind_F1_Import reading]]-CK18)*1200)&gt;0,(Input_Raw[[#This Row],[33 kV_Wind_F1_Import reading]]-CK18)*1200,0)</f>
        <v>1200</v>
      </c>
      <c r="CT19" s="105">
        <f>IF(((Input_Raw[[#This Row],[33 kV_Wind_F2_Export_reading]]-CL18)*1200)&gt;0,(Input_Raw[[#This Row],[33 kV_Wind_F2_Export_reading]]-CL18)*1200,0)</f>
        <v>99600</v>
      </c>
      <c r="CU19" s="105">
        <f>IF(((Input_Raw[[#This Row],[33 kV_Wind_F2_Import_reading]]-CM18)*1200)&gt;0,(Input_Raw[[#This Row],[33 kV_Wind_F2_Import_reading]]-CM18)*1200,0)</f>
        <v>0</v>
      </c>
      <c r="CV19" s="105">
        <f>IF(((Input_Raw[[#This Row],[33 kV_Wind_F3_Export_Reading]]-CN18)*1200)&gt;0,(Input_Raw[[#This Row],[33 kV_Wind_F3_Export_Reading]]-CN18)*1200,0)</f>
        <v>138000</v>
      </c>
      <c r="CW19" s="105">
        <f>IF(((Input_Raw[[#This Row],[33 kV_Wind_F3_Import_Reading]]-CO18)*1200)&gt;0,(Input_Raw[[#This Row],[33 kV_Wind_F3_Import_Reading]]-CO18)*1200,0)</f>
        <v>0</v>
      </c>
      <c r="CX19" s="105">
        <f>IF(((Input_Raw[[#This Row],[33 kV_Wind_F4_Export Reading]]-CP18)*1200)&gt;0,(Input_Raw[[#This Row],[33 kV_Wind_F4_Export Reading]]-CP18)*1200,0)</f>
        <v>121200</v>
      </c>
      <c r="CY19" s="105">
        <f>IF(((Input_Raw[[#This Row],[33 kV_Wind_F4_Import Reading]]-CQ18)*1200)&gt;0,(Input_Raw[[#This Row],[33 kV_Wind_F4_Import Reading]]-CQ18)*1200,0)</f>
        <v>0</v>
      </c>
      <c r="CZ19" s="105">
        <f>Input_Raw[[#This Row],[33 kV_F1_Total_Export (KWh)]]+Input_Raw[[#This Row],[33 kV_F2_Total_Export (KWh)2]]+Input_Raw[[#This Row],[33 kV_Wind_F3_Export (KWh)]]+Input_Raw[[#This Row],[33 kV_Wind_F4_Export (KWh)]]</f>
        <v>465600</v>
      </c>
      <c r="DA19" s="105">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101">
        <v>96</v>
      </c>
      <c r="DD19" s="104">
        <v>83785</v>
      </c>
      <c r="DE19" s="118">
        <v>469.51</v>
      </c>
      <c r="DF19" s="115"/>
      <c r="DG19" s="117">
        <v>78</v>
      </c>
      <c r="DH19" s="184"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105">
        <f>IF(((Input_Raw[[#This Row],[33 kV_Wind_F1_Export reading]]-CJ19)*1200)&gt;0,(Input_Raw[[#This Row],[33 kV_Wind_F1_Export reading]]-CJ19)*1200,0)</f>
        <v>94800</v>
      </c>
      <c r="CS20" s="105">
        <f>IF(((Input_Raw[[#This Row],[33 kV_Wind_F1_Import reading]]-CK19)*1200)&gt;0,(Input_Raw[[#This Row],[33 kV_Wind_F1_Import reading]]-CK19)*1200,0)</f>
        <v>0</v>
      </c>
      <c r="CT20" s="105">
        <f>IF(((Input_Raw[[#This Row],[33 kV_Wind_F2_Export_reading]]-CL19)*1200)&gt;0,(Input_Raw[[#This Row],[33 kV_Wind_F2_Export_reading]]-CL19)*1200,0)</f>
        <v>64800</v>
      </c>
      <c r="CU20" s="105">
        <f>IF(((Input_Raw[[#This Row],[33 kV_Wind_F2_Import_reading]]-CM19)*1200)&gt;0,(Input_Raw[[#This Row],[33 kV_Wind_F2_Import_reading]]-CM19)*1200,0)</f>
        <v>1200</v>
      </c>
      <c r="CV20" s="105">
        <f>IF(((Input_Raw[[#This Row],[33 kV_Wind_F3_Export_Reading]]-CN19)*1200)&gt;0,(Input_Raw[[#This Row],[33 kV_Wind_F3_Export_Reading]]-CN19)*1200,0)</f>
        <v>86400</v>
      </c>
      <c r="CW20" s="105">
        <f>IF(((Input_Raw[[#This Row],[33 kV_Wind_F3_Import_Reading]]-CO19)*1200)&gt;0,(Input_Raw[[#This Row],[33 kV_Wind_F3_Import_Reading]]-CO19)*1200,0)</f>
        <v>0</v>
      </c>
      <c r="CX20" s="105">
        <f>IF(((Input_Raw[[#This Row],[33 kV_Wind_F4_Export Reading]]-CP19)*1200)&gt;0,(Input_Raw[[#This Row],[33 kV_Wind_F4_Export Reading]]-CP19)*1200,0)</f>
        <v>85200</v>
      </c>
      <c r="CY20" s="105">
        <f>IF(((Input_Raw[[#This Row],[33 kV_Wind_F4_Import Reading]]-CQ19)*1200)&gt;0,(Input_Raw[[#This Row],[33 kV_Wind_F4_Import Reading]]-CQ19)*1200,0)</f>
        <v>0</v>
      </c>
      <c r="CZ20" s="105">
        <f>Input_Raw[[#This Row],[33 kV_F1_Total_Export (KWh)]]+Input_Raw[[#This Row],[33 kV_F2_Total_Export (KWh)2]]+Input_Raw[[#This Row],[33 kV_Wind_F3_Export (KWh)]]+Input_Raw[[#This Row],[33 kV_Wind_F4_Export (KWh)]]</f>
        <v>331200</v>
      </c>
      <c r="DA20" s="105">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101">
        <v>96</v>
      </c>
      <c r="DD20" s="104">
        <v>38289</v>
      </c>
      <c r="DE20" s="118">
        <v>333.66</v>
      </c>
      <c r="DF20" s="115"/>
      <c r="DG20" s="117">
        <v>78</v>
      </c>
      <c r="DH20" s="184"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103">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105">
        <f>IF(((Input_Raw[[#This Row],[33 kV_Wind_F1_Export reading]]-CJ20)*1200)&gt;0,(Input_Raw[[#This Row],[33 kV_Wind_F1_Export reading]]-CJ20)*1200,0)</f>
        <v>157200</v>
      </c>
      <c r="CS21" s="105">
        <f>IF(((Input_Raw[[#This Row],[33 kV_Wind_F1_Import reading]]-CK20)*1200)&gt;0,(Input_Raw[[#This Row],[33 kV_Wind_F1_Import reading]]-CK20)*1200,0)</f>
        <v>0</v>
      </c>
      <c r="CT21" s="105">
        <f>IF(((Input_Raw[[#This Row],[33 kV_Wind_F2_Export_reading]]-CL20)*1200)&gt;0,(Input_Raw[[#This Row],[33 kV_Wind_F2_Export_reading]]-CL20)*1200,0)</f>
        <v>117600</v>
      </c>
      <c r="CU21" s="105">
        <f>IF(((Input_Raw[[#This Row],[33 kV_Wind_F2_Import_reading]]-CM20)*1200)&gt;0,(Input_Raw[[#This Row],[33 kV_Wind_F2_Import_reading]]-CM20)*1200,0)</f>
        <v>0</v>
      </c>
      <c r="CV21" s="105">
        <f>IF(((Input_Raw[[#This Row],[33 kV_Wind_F3_Export_Reading]]-CN20)*1200)&gt;0,(Input_Raw[[#This Row],[33 kV_Wind_F3_Export_Reading]]-CN20)*1200,0)</f>
        <v>162000</v>
      </c>
      <c r="CW21" s="105">
        <f>IF(((Input_Raw[[#This Row],[33 kV_Wind_F3_Import_Reading]]-CO20)*1200)&gt;0,(Input_Raw[[#This Row],[33 kV_Wind_F3_Import_Reading]]-CO20)*1200,0)</f>
        <v>0</v>
      </c>
      <c r="CX21" s="105">
        <f>IF(((Input_Raw[[#This Row],[33 kV_Wind_F4_Export Reading]]-CP20)*1200)&gt;0,(Input_Raw[[#This Row],[33 kV_Wind_F4_Export Reading]]-CP20)*1200,0)</f>
        <v>162000</v>
      </c>
      <c r="CY21" s="105">
        <f>IF(((Input_Raw[[#This Row],[33 kV_Wind_F4_Import Reading]]-CQ20)*1200)&gt;0,(Input_Raw[[#This Row],[33 kV_Wind_F4_Import Reading]]-CQ20)*1200,0)</f>
        <v>1200</v>
      </c>
      <c r="CZ21" s="105">
        <f>Input_Raw[[#This Row],[33 kV_F1_Total_Export (KWh)]]+Input_Raw[[#This Row],[33 kV_F2_Total_Export (KWh)2]]+Input_Raw[[#This Row],[33 kV_Wind_F3_Export (KWh)]]+Input_Raw[[#This Row],[33 kV_Wind_F4_Export (KWh)]]</f>
        <v>598800</v>
      </c>
      <c r="DA21" s="105">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101">
        <v>96</v>
      </c>
      <c r="DD21" s="104">
        <v>33860</v>
      </c>
      <c r="DE21" s="118">
        <v>601.86900000000003</v>
      </c>
      <c r="DF21" s="115"/>
      <c r="DG21" s="117">
        <v>78</v>
      </c>
      <c r="DH21" s="184"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105">
        <f>IF(((Input_Raw[[#This Row],[33 kV_Wind_F1_Export reading]]-CJ21)*1200)&gt;0,(Input_Raw[[#This Row],[33 kV_Wind_F1_Export reading]]-CJ21)*1200,0)</f>
        <v>122400</v>
      </c>
      <c r="CS22" s="105">
        <f>IF(((Input_Raw[[#This Row],[33 kV_Wind_F1_Import reading]]-CK21)*1200)&gt;0,(Input_Raw[[#This Row],[33 kV_Wind_F1_Import reading]]-CK21)*1200,0)</f>
        <v>1200</v>
      </c>
      <c r="CT22" s="105">
        <f>IF(((Input_Raw[[#This Row],[33 kV_Wind_F2_Export_reading]]-CL21)*1200)&gt;0,(Input_Raw[[#This Row],[33 kV_Wind_F2_Export_reading]]-CL21)*1200,0)</f>
        <v>126000</v>
      </c>
      <c r="CU22" s="105">
        <f>IF(((Input_Raw[[#This Row],[33 kV_Wind_F2_Import_reading]]-CM21)*1200)&gt;0,(Input_Raw[[#This Row],[33 kV_Wind_F2_Import_reading]]-CM21)*1200,0)</f>
        <v>1200</v>
      </c>
      <c r="CV22" s="105">
        <f>IF(((Input_Raw[[#This Row],[33 kV_Wind_F3_Export_Reading]]-CN21)*1200)&gt;0,(Input_Raw[[#This Row],[33 kV_Wind_F3_Export_Reading]]-CN21)*1200,0)</f>
        <v>133200</v>
      </c>
      <c r="CW22" s="105">
        <f>IF(((Input_Raw[[#This Row],[33 kV_Wind_F3_Import_Reading]]-CO21)*1200)&gt;0,(Input_Raw[[#This Row],[33 kV_Wind_F3_Import_Reading]]-CO21)*1200,0)</f>
        <v>1200</v>
      </c>
      <c r="CX22" s="105">
        <f>IF(((Input_Raw[[#This Row],[33 kV_Wind_F4_Export Reading]]-CP21)*1200)&gt;0,(Input_Raw[[#This Row],[33 kV_Wind_F4_Export Reading]]-CP21)*1200,0)</f>
        <v>145200</v>
      </c>
      <c r="CY22" s="105">
        <f>IF(((Input_Raw[[#This Row],[33 kV_Wind_F4_Import Reading]]-CQ21)*1200)&gt;0,(Input_Raw[[#This Row],[33 kV_Wind_F4_Import Reading]]-CQ21)*1200,0)</f>
        <v>0</v>
      </c>
      <c r="CZ22" s="105">
        <f>Input_Raw[[#This Row],[33 kV_F1_Total_Export (KWh)]]+Input_Raw[[#This Row],[33 kV_F2_Total_Export (KWh)2]]+Input_Raw[[#This Row],[33 kV_Wind_F3_Export (KWh)]]+Input_Raw[[#This Row],[33 kV_Wind_F4_Export (KWh)]]</f>
        <v>526800</v>
      </c>
      <c r="DA22" s="105">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101">
        <v>96</v>
      </c>
      <c r="DD22" s="104">
        <v>145066</v>
      </c>
      <c r="DE22" s="118">
        <v>530.33699999999999</v>
      </c>
      <c r="DF22" s="115"/>
      <c r="DG22" s="117">
        <v>78</v>
      </c>
      <c r="DH22" s="183"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105">
        <f>IF(((Input_Raw[[#This Row],[33 kV_Wind_F1_Export reading]]-CJ22)*1200)&gt;0,(Input_Raw[[#This Row],[33 kV_Wind_F1_Export reading]]-CJ22)*1200,0)</f>
        <v>148800</v>
      </c>
      <c r="CS23" s="105">
        <f>IF(((Input_Raw[[#This Row],[33 kV_Wind_F1_Import reading]]-CK22)*1200)&gt;0,(Input_Raw[[#This Row],[33 kV_Wind_F1_Import reading]]-CK22)*1200,0)</f>
        <v>0</v>
      </c>
      <c r="CT23" s="105">
        <f>IF(((Input_Raw[[#This Row],[33 kV_Wind_F2_Export_reading]]-CL22)*1200)&gt;0,(Input_Raw[[#This Row],[33 kV_Wind_F2_Export_reading]]-CL22)*1200,0)</f>
        <v>97200</v>
      </c>
      <c r="CU23" s="105">
        <f>IF(((Input_Raw[[#This Row],[33 kV_Wind_F2_Import_reading]]-CM22)*1200)&gt;0,(Input_Raw[[#This Row],[33 kV_Wind_F2_Import_reading]]-CM22)*1200,0)</f>
        <v>0</v>
      </c>
      <c r="CV23" s="105">
        <f>IF(((Input_Raw[[#This Row],[33 kV_Wind_F3_Export_Reading]]-CN22)*1200)&gt;0,(Input_Raw[[#This Row],[33 kV_Wind_F3_Export_Reading]]-CN22)*1200,0)</f>
        <v>150000</v>
      </c>
      <c r="CW23" s="105">
        <f>IF(((Input_Raw[[#This Row],[33 kV_Wind_F3_Import_Reading]]-CO22)*1200)&gt;0,(Input_Raw[[#This Row],[33 kV_Wind_F3_Import_Reading]]-CO22)*1200,0)</f>
        <v>0</v>
      </c>
      <c r="CX23" s="105">
        <f>IF(((Input_Raw[[#This Row],[33 kV_Wind_F4_Export Reading]]-CP22)*1200)&gt;0,(Input_Raw[[#This Row],[33 kV_Wind_F4_Export Reading]]-CP22)*1200,0)</f>
        <v>154800</v>
      </c>
      <c r="CY23" s="105">
        <f>IF(((Input_Raw[[#This Row],[33 kV_Wind_F4_Import Reading]]-CQ22)*1200)&gt;0,(Input_Raw[[#This Row],[33 kV_Wind_F4_Import Reading]]-CQ22)*1200,0)</f>
        <v>0</v>
      </c>
      <c r="CZ23" s="105">
        <f>Input_Raw[[#This Row],[33 kV_F1_Total_Export (KWh)]]+Input_Raw[[#This Row],[33 kV_F2_Total_Export (KWh)2]]+Input_Raw[[#This Row],[33 kV_Wind_F3_Export (KWh)]]+Input_Raw[[#This Row],[33 kV_Wind_F4_Export (KWh)]]</f>
        <v>550800</v>
      </c>
      <c r="DA23" s="105">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101">
        <v>96</v>
      </c>
      <c r="DD23" s="104">
        <v>160779</v>
      </c>
      <c r="DE23" s="118">
        <v>552.58100000000002</v>
      </c>
      <c r="DF23" s="115"/>
      <c r="DG23" s="117">
        <v>78</v>
      </c>
      <c r="DH23" s="183"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105">
        <f>IF(((Input_Raw[[#This Row],[33 kV_Wind_F1_Export reading]]-CJ23)*1200)&gt;0,(Input_Raw[[#This Row],[33 kV_Wind_F1_Export reading]]-CJ23)*1200,0)</f>
        <v>124800</v>
      </c>
      <c r="CS24" s="105">
        <f>IF(((Input_Raw[[#This Row],[33 kV_Wind_F1_Import reading]]-CK23)*1200)&gt;0,(Input_Raw[[#This Row],[33 kV_Wind_F1_Import reading]]-CK23)*1200,0)</f>
        <v>0</v>
      </c>
      <c r="CT24" s="105">
        <f>IF(((Input_Raw[[#This Row],[33 kV_Wind_F2_Export_reading]]-CL23)*1200)&gt;0,(Input_Raw[[#This Row],[33 kV_Wind_F2_Export_reading]]-CL23)*1200,0)</f>
        <v>109200</v>
      </c>
      <c r="CU24" s="105">
        <f>IF(((Input_Raw[[#This Row],[33 kV_Wind_F2_Import_reading]]-CM23)*1200)&gt;0,(Input_Raw[[#This Row],[33 kV_Wind_F2_Import_reading]]-CM23)*1200,0)</f>
        <v>0</v>
      </c>
      <c r="CV24" s="105">
        <f>IF(((Input_Raw[[#This Row],[33 kV_Wind_F3_Export_Reading]]-CN23)*1200)&gt;0,(Input_Raw[[#This Row],[33 kV_Wind_F3_Export_Reading]]-CN23)*1200,0)</f>
        <v>145200</v>
      </c>
      <c r="CW24" s="105">
        <f>IF(((Input_Raw[[#This Row],[33 kV_Wind_F3_Import_Reading]]-CO23)*1200)&gt;0,(Input_Raw[[#This Row],[33 kV_Wind_F3_Import_Reading]]-CO23)*1200,0)</f>
        <v>0</v>
      </c>
      <c r="CX24" s="105">
        <f>IF(((Input_Raw[[#This Row],[33 kV_Wind_F4_Export Reading]]-CP23)*1200)&gt;0,(Input_Raw[[#This Row],[33 kV_Wind_F4_Export Reading]]-CP23)*1200,0)</f>
        <v>142800</v>
      </c>
      <c r="CY24" s="105">
        <f>IF(((Input_Raw[[#This Row],[33 kV_Wind_F4_Import Reading]]-CQ23)*1200)&gt;0,(Input_Raw[[#This Row],[33 kV_Wind_F4_Import Reading]]-CQ23)*1200,0)</f>
        <v>0</v>
      </c>
      <c r="CZ24" s="105">
        <f>Input_Raw[[#This Row],[33 kV_F1_Total_Export (KWh)]]+Input_Raw[[#This Row],[33 kV_F2_Total_Export (KWh)2]]+Input_Raw[[#This Row],[33 kV_Wind_F3_Export (KWh)]]+Input_Raw[[#This Row],[33 kV_Wind_F4_Export (KWh)]]</f>
        <v>522000</v>
      </c>
      <c r="DA24" s="105">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101">
        <v>96</v>
      </c>
      <c r="DD24" s="104">
        <v>182469</v>
      </c>
      <c r="DE24" s="118">
        <v>522.46199999999999</v>
      </c>
      <c r="DF24" s="115"/>
      <c r="DG24" s="117">
        <v>78</v>
      </c>
      <c r="DH24" s="183"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105">
        <f>IF(((Input_Raw[[#This Row],[33 kV_Wind_F1_Export reading]]-CJ24)*1200)&gt;0,(Input_Raw[[#This Row],[33 kV_Wind_F1_Export reading]]-CJ24)*1200,0)</f>
        <v>79200</v>
      </c>
      <c r="CS25" s="105">
        <f>IF(((Input_Raw[[#This Row],[33 kV_Wind_F1_Import reading]]-CK24)*1200)&gt;0,(Input_Raw[[#This Row],[33 kV_Wind_F1_Import reading]]-CK24)*1200,0)</f>
        <v>0</v>
      </c>
      <c r="CT25" s="105">
        <f>IF(((Input_Raw[[#This Row],[33 kV_Wind_F2_Export_reading]]-CL24)*1200)&gt;0,(Input_Raw[[#This Row],[33 kV_Wind_F2_Export_reading]]-CL24)*1200,0)</f>
        <v>70800</v>
      </c>
      <c r="CU25" s="105">
        <f>IF(((Input_Raw[[#This Row],[33 kV_Wind_F2_Import_reading]]-CM24)*1200)&gt;0,(Input_Raw[[#This Row],[33 kV_Wind_F2_Import_reading]]-CM24)*1200,0)</f>
        <v>0</v>
      </c>
      <c r="CV25" s="105">
        <f>IF(((Input_Raw[[#This Row],[33 kV_Wind_F3_Export_Reading]]-CN24)*1200)&gt;0,(Input_Raw[[#This Row],[33 kV_Wind_F3_Export_Reading]]-CN24)*1200,0)</f>
        <v>88800</v>
      </c>
      <c r="CW25" s="105">
        <f>IF(((Input_Raw[[#This Row],[33 kV_Wind_F3_Import_Reading]]-CO24)*1200)&gt;0,(Input_Raw[[#This Row],[33 kV_Wind_F3_Import_Reading]]-CO24)*1200,0)</f>
        <v>0</v>
      </c>
      <c r="CX25" s="105">
        <f>IF(((Input_Raw[[#This Row],[33 kV_Wind_F4_Export Reading]]-CP24)*1200)&gt;0,(Input_Raw[[#This Row],[33 kV_Wind_F4_Export Reading]]-CP24)*1200,0)</f>
        <v>78000</v>
      </c>
      <c r="CY25" s="105">
        <f>IF(((Input_Raw[[#This Row],[33 kV_Wind_F4_Import Reading]]-CQ24)*1200)&gt;0,(Input_Raw[[#This Row],[33 kV_Wind_F4_Import Reading]]-CQ24)*1200,0)</f>
        <v>1200</v>
      </c>
      <c r="CZ25" s="105">
        <f>Input_Raw[[#This Row],[33 kV_F1_Total_Export (KWh)]]+Input_Raw[[#This Row],[33 kV_F2_Total_Export (KWh)2]]+Input_Raw[[#This Row],[33 kV_Wind_F3_Export (KWh)]]+Input_Raw[[#This Row],[33 kV_Wind_F4_Export (KWh)]]</f>
        <v>316800</v>
      </c>
      <c r="DA25" s="105">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101">
        <v>96</v>
      </c>
      <c r="DD25" s="104">
        <v>88227</v>
      </c>
      <c r="DE25" s="118">
        <v>320.58999999999997</v>
      </c>
      <c r="DF25" s="115"/>
      <c r="DG25" s="117">
        <v>78</v>
      </c>
      <c r="DH25" s="183"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105">
        <f>IF(((Input_Raw[[#This Row],[33 kV_Wind_F1_Export reading]]-CJ25)*1200)&gt;0,(Input_Raw[[#This Row],[33 kV_Wind_F1_Export reading]]-CJ25)*1200,0)</f>
        <v>102000</v>
      </c>
      <c r="CS26" s="105">
        <f>IF(((Input_Raw[[#This Row],[33 kV_Wind_F1_Import reading]]-CK25)*1200)&gt;0,(Input_Raw[[#This Row],[33 kV_Wind_F1_Import reading]]-CK25)*1200,0)</f>
        <v>1200</v>
      </c>
      <c r="CT26" s="105">
        <f>IF(((Input_Raw[[#This Row],[33 kV_Wind_F2_Export_reading]]-CL25)*1200)&gt;0,(Input_Raw[[#This Row],[33 kV_Wind_F2_Export_reading]]-CL25)*1200,0)</f>
        <v>82800</v>
      </c>
      <c r="CU26" s="105">
        <f>IF(((Input_Raw[[#This Row],[33 kV_Wind_F2_Import_reading]]-CM25)*1200)&gt;0,(Input_Raw[[#This Row],[33 kV_Wind_F2_Import_reading]]-CM25)*1200,0)</f>
        <v>0</v>
      </c>
      <c r="CV26" s="105">
        <f>IF(((Input_Raw[[#This Row],[33 kV_Wind_F3_Export_Reading]]-CN25)*1200)&gt;0,(Input_Raw[[#This Row],[33 kV_Wind_F3_Export_Reading]]-CN25)*1200,0)</f>
        <v>110400</v>
      </c>
      <c r="CW26" s="105">
        <f>IF(((Input_Raw[[#This Row],[33 kV_Wind_F3_Import_Reading]]-CO25)*1200)&gt;0,(Input_Raw[[#This Row],[33 kV_Wind_F3_Import_Reading]]-CO25)*1200,0)</f>
        <v>1200</v>
      </c>
      <c r="CX26" s="105">
        <f>IF(((Input_Raw[[#This Row],[33 kV_Wind_F4_Export Reading]]-CP25)*1200)&gt;0,(Input_Raw[[#This Row],[33 kV_Wind_F4_Export Reading]]-CP25)*1200,0)</f>
        <v>110400</v>
      </c>
      <c r="CY26" s="105">
        <f>IF(((Input_Raw[[#This Row],[33 kV_Wind_F4_Import Reading]]-CQ25)*1200)&gt;0,(Input_Raw[[#This Row],[33 kV_Wind_F4_Import Reading]]-CQ25)*1200,0)</f>
        <v>0</v>
      </c>
      <c r="CZ26" s="105">
        <f>Input_Raw[[#This Row],[33 kV_F1_Total_Export (KWh)]]+Input_Raw[[#This Row],[33 kV_F2_Total_Export (KWh)2]]+Input_Raw[[#This Row],[33 kV_Wind_F3_Export (KWh)]]+Input_Raw[[#This Row],[33 kV_Wind_F4_Export (KWh)]]</f>
        <v>405600</v>
      </c>
      <c r="DA26" s="105">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101">
        <v>96</v>
      </c>
      <c r="DD26" s="104">
        <v>87932</v>
      </c>
      <c r="DE26" s="118">
        <v>407.32</v>
      </c>
      <c r="DF26" s="115"/>
      <c r="DG26" s="117">
        <v>78</v>
      </c>
      <c r="DH26" s="183"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105">
        <f>IF(((Input_Raw[[#This Row],[33 kV_Wind_F1_Export reading]]-CJ26)*1200)&gt;0,(Input_Raw[[#This Row],[33 kV_Wind_F1_Export reading]]-CJ26)*1200,0)</f>
        <v>192000</v>
      </c>
      <c r="CS27" s="105">
        <f>IF(((Input_Raw[[#This Row],[33 kV_Wind_F1_Import reading]]-CK26)*1200)&gt;0,(Input_Raw[[#This Row],[33 kV_Wind_F1_Import reading]]-CK26)*1200,0)</f>
        <v>0</v>
      </c>
      <c r="CT27" s="105">
        <f>IF(((Input_Raw[[#This Row],[33 kV_Wind_F2_Export_reading]]-CL26)*1200)&gt;0,(Input_Raw[[#This Row],[33 kV_Wind_F2_Export_reading]]-CL26)*1200,0)</f>
        <v>166800</v>
      </c>
      <c r="CU27" s="105">
        <f>IF(((Input_Raw[[#This Row],[33 kV_Wind_F2_Import_reading]]-CM26)*1200)&gt;0,(Input_Raw[[#This Row],[33 kV_Wind_F2_Import_reading]]-CM26)*1200,0)</f>
        <v>0</v>
      </c>
      <c r="CV27" s="105">
        <f>IF(((Input_Raw[[#This Row],[33 kV_Wind_F3_Export_Reading]]-CN26)*1200)&gt;0,(Input_Raw[[#This Row],[33 kV_Wind_F3_Export_Reading]]-CN26)*1200,0)</f>
        <v>182400</v>
      </c>
      <c r="CW27" s="105">
        <f>IF(((Input_Raw[[#This Row],[33 kV_Wind_F3_Import_Reading]]-CO26)*1200)&gt;0,(Input_Raw[[#This Row],[33 kV_Wind_F3_Import_Reading]]-CO26)*1200,0)</f>
        <v>0</v>
      </c>
      <c r="CX27" s="105">
        <f>IF(((Input_Raw[[#This Row],[33 kV_Wind_F4_Export Reading]]-CP26)*1200)&gt;0,(Input_Raw[[#This Row],[33 kV_Wind_F4_Export Reading]]-CP26)*1200,0)</f>
        <v>210000</v>
      </c>
      <c r="CY27" s="105">
        <f>IF(((Input_Raw[[#This Row],[33 kV_Wind_F4_Import Reading]]-CQ26)*1200)&gt;0,(Input_Raw[[#This Row],[33 kV_Wind_F4_Import Reading]]-CQ26)*1200,0)</f>
        <v>0</v>
      </c>
      <c r="CZ27" s="105">
        <f>Input_Raw[[#This Row],[33 kV_F1_Total_Export (KWh)]]+Input_Raw[[#This Row],[33 kV_F2_Total_Export (KWh)2]]+Input_Raw[[#This Row],[33 kV_Wind_F3_Export (KWh)]]+Input_Raw[[#This Row],[33 kV_Wind_F4_Export (KWh)]]</f>
        <v>751200</v>
      </c>
      <c r="DA27" s="105">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101">
        <v>96</v>
      </c>
      <c r="DD27" s="104">
        <v>191708</v>
      </c>
      <c r="DE27" s="118">
        <v>752.09</v>
      </c>
      <c r="DF27" s="115"/>
      <c r="DG27" s="117">
        <v>78</v>
      </c>
      <c r="DH27" s="183"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102">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103">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105">
        <f>IF(((Input_Raw[[#This Row],[33 kV_Wind_F1_Export reading]]-CJ27)*1200)&gt;0,(Input_Raw[[#This Row],[33 kV_Wind_F1_Export reading]]-CJ27)*1200,0)</f>
        <v>82800</v>
      </c>
      <c r="CS28" s="105">
        <f>IF(((Input_Raw[[#This Row],[33 kV_Wind_F1_Import reading]]-CK27)*1200)&gt;0,(Input_Raw[[#This Row],[33 kV_Wind_F1_Import reading]]-CK27)*1200,0)</f>
        <v>1200</v>
      </c>
      <c r="CT28" s="105">
        <f>IF(((Input_Raw[[#This Row],[33 kV_Wind_F2_Export_reading]]-CL27)*1200)&gt;0,(Input_Raw[[#This Row],[33 kV_Wind_F2_Export_reading]]-CL27)*1200,0)</f>
        <v>63600</v>
      </c>
      <c r="CU28" s="105">
        <f>IF(((Input_Raw[[#This Row],[33 kV_Wind_F2_Import_reading]]-CM27)*1200)&gt;0,(Input_Raw[[#This Row],[33 kV_Wind_F2_Import_reading]]-CM27)*1200,0)</f>
        <v>1200</v>
      </c>
      <c r="CV28" s="105">
        <f>IF(((Input_Raw[[#This Row],[33 kV_Wind_F3_Export_Reading]]-CN27)*1200)&gt;0,(Input_Raw[[#This Row],[33 kV_Wind_F3_Export_Reading]]-CN27)*1200,0)</f>
        <v>73200</v>
      </c>
      <c r="CW28" s="105">
        <f>IF(((Input_Raw[[#This Row],[33 kV_Wind_F3_Import_Reading]]-CO27)*1200)&gt;0,(Input_Raw[[#This Row],[33 kV_Wind_F3_Import_Reading]]-CO27)*1200,0)</f>
        <v>0</v>
      </c>
      <c r="CX28" s="105">
        <f>IF(((Input_Raw[[#This Row],[33 kV_Wind_F4_Export Reading]]-CP27)*1200)&gt;0,(Input_Raw[[#This Row],[33 kV_Wind_F4_Export Reading]]-CP27)*1200,0)</f>
        <v>72000</v>
      </c>
      <c r="CY28" s="105">
        <f>IF(((Input_Raw[[#This Row],[33 kV_Wind_F4_Import Reading]]-CQ27)*1200)&gt;0,(Input_Raw[[#This Row],[33 kV_Wind_F4_Import Reading]]-CQ27)*1200,0)</f>
        <v>0</v>
      </c>
      <c r="CZ28" s="105">
        <f>Input_Raw[[#This Row],[33 kV_F1_Total_Export (KWh)]]+Input_Raw[[#This Row],[33 kV_F2_Total_Export (KWh)2]]+Input_Raw[[#This Row],[33 kV_Wind_F3_Export (KWh)]]+Input_Raw[[#This Row],[33 kV_Wind_F4_Export (KWh)]]</f>
        <v>291600</v>
      </c>
      <c r="DA28" s="105">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101">
        <v>95</v>
      </c>
      <c r="DD28" s="104">
        <v>78346</v>
      </c>
      <c r="DE28" s="118">
        <v>299.02999999999997</v>
      </c>
      <c r="DF28" s="115"/>
      <c r="DG28" s="117">
        <v>78</v>
      </c>
      <c r="DH28" s="183"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102">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105">
        <f>IF(((Input_Raw[[#This Row],[33 kV_Wind_F1_Export reading]]-CJ28)*1200)&gt;0,(Input_Raw[[#This Row],[33 kV_Wind_F1_Export reading]]-CJ28)*1200,0)</f>
        <v>62400</v>
      </c>
      <c r="CS29" s="105">
        <f>IF(((Input_Raw[[#This Row],[33 kV_Wind_F1_Import reading]]-CK28)*1200)&gt;0,(Input_Raw[[#This Row],[33 kV_Wind_F1_Import reading]]-CK28)*1200,0)</f>
        <v>0</v>
      </c>
      <c r="CT29" s="105">
        <f>IF(((Input_Raw[[#This Row],[33 kV_Wind_F2_Export_reading]]-CL28)*1200)&gt;0,(Input_Raw[[#This Row],[33 kV_Wind_F2_Export_reading]]-CL28)*1200,0)</f>
        <v>50400</v>
      </c>
      <c r="CU29" s="105">
        <f>IF(((Input_Raw[[#This Row],[33 kV_Wind_F2_Import_reading]]-CM28)*1200)&gt;0,(Input_Raw[[#This Row],[33 kV_Wind_F2_Import_reading]]-CM28)*1200,0)</f>
        <v>0</v>
      </c>
      <c r="CV29" s="105">
        <f>IF(((Input_Raw[[#This Row],[33 kV_Wind_F3_Export_Reading]]-CN28)*1200)&gt;0,(Input_Raw[[#This Row],[33 kV_Wind_F3_Export_Reading]]-CN28)*1200,0)</f>
        <v>38400</v>
      </c>
      <c r="CW29" s="105">
        <f>IF(((Input_Raw[[#This Row],[33 kV_Wind_F3_Import_Reading]]-CO28)*1200)&gt;0,(Input_Raw[[#This Row],[33 kV_Wind_F3_Import_Reading]]-CO28)*1200,0)</f>
        <v>0</v>
      </c>
      <c r="CX29" s="105">
        <f>IF(((Input_Raw[[#This Row],[33 kV_Wind_F4_Export Reading]]-CP28)*1200)&gt;0,(Input_Raw[[#This Row],[33 kV_Wind_F4_Export Reading]]-CP28)*1200,0)</f>
        <v>62400</v>
      </c>
      <c r="CY29" s="105">
        <f>IF(((Input_Raw[[#This Row],[33 kV_Wind_F4_Import Reading]]-CQ28)*1200)&gt;0,(Input_Raw[[#This Row],[33 kV_Wind_F4_Import Reading]]-CQ28)*1200,0)</f>
        <v>1200</v>
      </c>
      <c r="CZ29" s="105">
        <f>Input_Raw[[#This Row],[33 kV_F1_Total_Export (KWh)]]+Input_Raw[[#This Row],[33 kV_F2_Total_Export (KWh)2]]+Input_Raw[[#This Row],[33 kV_Wind_F3_Export (KWh)]]+Input_Raw[[#This Row],[33 kV_Wind_F4_Export (KWh)]]</f>
        <v>213600</v>
      </c>
      <c r="DA29" s="105">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101">
        <v>96</v>
      </c>
      <c r="DD29" s="104">
        <v>29652</v>
      </c>
      <c r="DE29" s="118">
        <v>215.09</v>
      </c>
      <c r="DF29" s="115"/>
      <c r="DG29" s="117">
        <v>78</v>
      </c>
      <c r="DH29" s="183"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105">
        <f>IF(((Input_Raw[[#This Row],[33 kV_Wind_F1_Export reading]]-CJ29)*1200)&gt;0,(Input_Raw[[#This Row],[33 kV_Wind_F1_Export reading]]-CJ29)*1200,0)</f>
        <v>30000</v>
      </c>
      <c r="CS30" s="105">
        <f>IF(((Input_Raw[[#This Row],[33 kV_Wind_F1_Import reading]]-CK29)*1200)&gt;0,(Input_Raw[[#This Row],[33 kV_Wind_F1_Import reading]]-CK29)*1200,0)</f>
        <v>1200</v>
      </c>
      <c r="CT30" s="105">
        <f>IF(((Input_Raw[[#This Row],[33 kV_Wind_F2_Export_reading]]-CL29)*1200)&gt;0,(Input_Raw[[#This Row],[33 kV_Wind_F2_Export_reading]]-CL29)*1200,0)</f>
        <v>24000</v>
      </c>
      <c r="CU30" s="105">
        <f>IF(((Input_Raw[[#This Row],[33 kV_Wind_F2_Import_reading]]-CM29)*1200)&gt;0,(Input_Raw[[#This Row],[33 kV_Wind_F2_Import_reading]]-CM29)*1200,0)</f>
        <v>1200</v>
      </c>
      <c r="CV30" s="105">
        <f>IF(((Input_Raw[[#This Row],[33 kV_Wind_F3_Export_Reading]]-CN29)*1200)&gt;0,(Input_Raw[[#This Row],[33 kV_Wind_F3_Export_Reading]]-CN29)*1200,0)</f>
        <v>33600</v>
      </c>
      <c r="CW30" s="105">
        <f>IF(((Input_Raw[[#This Row],[33 kV_Wind_F3_Import_Reading]]-CO29)*1200)&gt;0,(Input_Raw[[#This Row],[33 kV_Wind_F3_Import_Reading]]-CO29)*1200,0)</f>
        <v>1200</v>
      </c>
      <c r="CX30" s="105">
        <f>IF(((Input_Raw[[#This Row],[33 kV_Wind_F4_Export Reading]]-CP29)*1200)&gt;0,(Input_Raw[[#This Row],[33 kV_Wind_F4_Export Reading]]-CP29)*1200,0)</f>
        <v>38400</v>
      </c>
      <c r="CY30" s="105">
        <f>IF(((Input_Raw[[#This Row],[33 kV_Wind_F4_Import Reading]]-CQ29)*1200)&gt;0,(Input_Raw[[#This Row],[33 kV_Wind_F4_Import Reading]]-CQ29)*1200,0)</f>
        <v>1200</v>
      </c>
      <c r="CZ30" s="105">
        <f>Input_Raw[[#This Row],[33 kV_F1_Total_Export (KWh)]]+Input_Raw[[#This Row],[33 kV_F2_Total_Export (KWh)2]]+Input_Raw[[#This Row],[33 kV_Wind_F3_Export (KWh)]]+Input_Raw[[#This Row],[33 kV_Wind_F4_Export (KWh)]]</f>
        <v>126000</v>
      </c>
      <c r="DA30" s="105">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101">
        <v>90</v>
      </c>
      <c r="DD30" s="104">
        <v>5922</v>
      </c>
      <c r="DE30" s="118">
        <v>128.16</v>
      </c>
      <c r="DF30" s="115"/>
      <c r="DG30" s="117">
        <v>78</v>
      </c>
      <c r="DH30" s="183"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105">
        <f>IF(((Input_Raw[[#This Row],[33 kV_Wind_F1_Export reading]]-CJ30)*1200)&gt;0,(Input_Raw[[#This Row],[33 kV_Wind_F1_Export reading]]-CJ30)*1200,0)</f>
        <v>67200</v>
      </c>
      <c r="CS31" s="105">
        <f>IF(((Input_Raw[[#This Row],[33 kV_Wind_F1_Import reading]]-CK30)*1200)&gt;0,(Input_Raw[[#This Row],[33 kV_Wind_F1_Import reading]]-CK30)*1200,0)</f>
        <v>0</v>
      </c>
      <c r="CT31" s="105">
        <f>IF(((Input_Raw[[#This Row],[33 kV_Wind_F2_Export_reading]]-CL30)*1200)&gt;0,(Input_Raw[[#This Row],[33 kV_Wind_F2_Export_reading]]-CL30)*1200,0)</f>
        <v>42000</v>
      </c>
      <c r="CU31" s="105">
        <f>IF(((Input_Raw[[#This Row],[33 kV_Wind_F2_Import_reading]]-CM30)*1200)&gt;0,(Input_Raw[[#This Row],[33 kV_Wind_F2_Import_reading]]-CM30)*1200,0)</f>
        <v>1200</v>
      </c>
      <c r="CV31" s="105">
        <f>IF(((Input_Raw[[#This Row],[33 kV_Wind_F3_Export_Reading]]-CN30)*1200)&gt;0,(Input_Raw[[#This Row],[33 kV_Wind_F3_Export_Reading]]-CN30)*1200,0)</f>
        <v>45600</v>
      </c>
      <c r="CW31" s="105">
        <f>IF(((Input_Raw[[#This Row],[33 kV_Wind_F3_Import_Reading]]-CO30)*1200)&gt;0,(Input_Raw[[#This Row],[33 kV_Wind_F3_Import_Reading]]-CO30)*1200,0)</f>
        <v>0</v>
      </c>
      <c r="CX31" s="105">
        <f>IF(((Input_Raw[[#This Row],[33 kV_Wind_F4_Export Reading]]-CP30)*1200)&gt;0,(Input_Raw[[#This Row],[33 kV_Wind_F4_Export Reading]]-CP30)*1200,0)</f>
        <v>43200</v>
      </c>
      <c r="CY31" s="105">
        <f>IF(((Input_Raw[[#This Row],[33 kV_Wind_F4_Import Reading]]-CQ30)*1200)&gt;0,(Input_Raw[[#This Row],[33 kV_Wind_F4_Import Reading]]-CQ30)*1200,0)</f>
        <v>0</v>
      </c>
      <c r="CZ31" s="105">
        <f>Input_Raw[[#This Row],[33 kV_F1_Total_Export (KWh)]]+Input_Raw[[#This Row],[33 kV_F2_Total_Export (KWh)2]]+Input_Raw[[#This Row],[33 kV_Wind_F3_Export (KWh)]]+Input_Raw[[#This Row],[33 kV_Wind_F4_Export (KWh)]]</f>
        <v>198000</v>
      </c>
      <c r="DA31" s="105">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101">
        <v>96</v>
      </c>
      <c r="DD31" s="104">
        <v>7484</v>
      </c>
      <c r="DE31" s="118">
        <v>203.96</v>
      </c>
      <c r="DF31" s="115"/>
      <c r="DG31" s="117">
        <v>78</v>
      </c>
      <c r="DH31" s="183"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105">
        <f>IF(((Input_Raw[[#This Row],[33 kV_Wind_F1_Export reading]]-CJ31)*1200)&gt;0,(Input_Raw[[#This Row],[33 kV_Wind_F1_Export reading]]-CJ31)*1200,0)</f>
        <v>66000</v>
      </c>
      <c r="CS32" s="105">
        <f>IF(((Input_Raw[[#This Row],[33 kV_Wind_F1_Import reading]]-CK31)*1200)&gt;0,(Input_Raw[[#This Row],[33 kV_Wind_F1_Import reading]]-CK31)*1200,0)</f>
        <v>1200</v>
      </c>
      <c r="CT32" s="105">
        <f>IF(((Input_Raw[[#This Row],[33 kV_Wind_F2_Export_reading]]-CL31)*1200)&gt;0,(Input_Raw[[#This Row],[33 kV_Wind_F2_Export_reading]]-CL31)*1200,0)</f>
        <v>51600</v>
      </c>
      <c r="CU32" s="105">
        <f>IF(((Input_Raw[[#This Row],[33 kV_Wind_F2_Import_reading]]-CM31)*1200)&gt;0,(Input_Raw[[#This Row],[33 kV_Wind_F2_Import_reading]]-CM31)*1200,0)</f>
        <v>0</v>
      </c>
      <c r="CV32" s="105">
        <f>IF(((Input_Raw[[#This Row],[33 kV_Wind_F3_Export_Reading]]-CN31)*1200)&gt;0,(Input_Raw[[#This Row],[33 kV_Wind_F3_Export_Reading]]-CN31)*1200,0)</f>
        <v>62400</v>
      </c>
      <c r="CW32" s="105">
        <f>IF(((Input_Raw[[#This Row],[33 kV_Wind_F3_Import_Reading]]-CO31)*1200)&gt;0,(Input_Raw[[#This Row],[33 kV_Wind_F3_Import_Reading]]-CO31)*1200,0)</f>
        <v>1200</v>
      </c>
      <c r="CX32" s="105">
        <f>IF(((Input_Raw[[#This Row],[33 kV_Wind_F4_Export Reading]]-CP31)*1200)&gt;0,(Input_Raw[[#This Row],[33 kV_Wind_F4_Export Reading]]-CP31)*1200,0)</f>
        <v>62400</v>
      </c>
      <c r="CY32" s="105">
        <f>IF(((Input_Raw[[#This Row],[33 kV_Wind_F4_Import Reading]]-CQ31)*1200)&gt;0,(Input_Raw[[#This Row],[33 kV_Wind_F4_Import Reading]]-CQ31)*1200,0)</f>
        <v>1200</v>
      </c>
      <c r="CZ32" s="105">
        <f>Input_Raw[[#This Row],[33 kV_F1_Total_Export (KWh)]]+Input_Raw[[#This Row],[33 kV_F2_Total_Export (KWh)2]]+Input_Raw[[#This Row],[33 kV_Wind_F3_Export (KWh)]]+Input_Raw[[#This Row],[33 kV_Wind_F4_Export (KWh)]]</f>
        <v>242400</v>
      </c>
      <c r="DA32" s="105">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101">
        <v>96</v>
      </c>
      <c r="DD32" s="104">
        <v>6052</v>
      </c>
      <c r="DE32" s="118">
        <v>243.86</v>
      </c>
      <c r="DF32" s="115"/>
      <c r="DG32" s="117">
        <v>78</v>
      </c>
      <c r="DH32" s="183"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105">
        <f>IF(((Input_Raw[[#This Row],[33 kV_Wind_F1_Export reading]]-CJ32)*1200)&gt;0,(Input_Raw[[#This Row],[33 kV_Wind_F1_Export reading]]-CJ32)*1200,0)</f>
        <v>92400</v>
      </c>
      <c r="CS33" s="105">
        <f>IF(((Input_Raw[[#This Row],[33 kV_Wind_F1_Import reading]]-CK32)*1200)&gt;0,(Input_Raw[[#This Row],[33 kV_Wind_F1_Import reading]]-CK32)*1200,0)</f>
        <v>0</v>
      </c>
      <c r="CT33" s="105">
        <f>IF(((Input_Raw[[#This Row],[33 kV_Wind_F2_Export_reading]]-CL32)*1200)&gt;0,(Input_Raw[[#This Row],[33 kV_Wind_F2_Export_reading]]-CL32)*1200,0)</f>
        <v>69600</v>
      </c>
      <c r="CU33" s="105">
        <f>IF(((Input_Raw[[#This Row],[33 kV_Wind_F2_Import_reading]]-CM32)*1200)&gt;0,(Input_Raw[[#This Row],[33 kV_Wind_F2_Import_reading]]-CM32)*1200,0)</f>
        <v>0</v>
      </c>
      <c r="CV33" s="105">
        <f>IF(((Input_Raw[[#This Row],[33 kV_Wind_F3_Export_Reading]]-CN32)*1200)&gt;0,(Input_Raw[[#This Row],[33 kV_Wind_F3_Export_Reading]]-CN32)*1200,0)</f>
        <v>97200</v>
      </c>
      <c r="CW33" s="105">
        <f>IF(((Input_Raw[[#This Row],[33 kV_Wind_F3_Import_Reading]]-CO32)*1200)&gt;0,(Input_Raw[[#This Row],[33 kV_Wind_F3_Import_Reading]]-CO32)*1200,0)</f>
        <v>0</v>
      </c>
      <c r="CX33" s="105">
        <f>IF(((Input_Raw[[#This Row],[33 kV_Wind_F4_Export Reading]]-CP32)*1200)&gt;0,(Input_Raw[[#This Row],[33 kV_Wind_F4_Export Reading]]-CP32)*1200,0)</f>
        <v>117600</v>
      </c>
      <c r="CY33" s="105">
        <f>IF(((Input_Raw[[#This Row],[33 kV_Wind_F4_Import Reading]]-CQ32)*1200)&gt;0,(Input_Raw[[#This Row],[33 kV_Wind_F4_Import Reading]]-CQ32)*1200,0)</f>
        <v>0</v>
      </c>
      <c r="CZ33" s="105">
        <f>Input_Raw[[#This Row],[33 kV_F1_Total_Export (KWh)]]+Input_Raw[[#This Row],[33 kV_F2_Total_Export (KWh)2]]+Input_Raw[[#This Row],[33 kV_Wind_F3_Export (KWh)]]+Input_Raw[[#This Row],[33 kV_Wind_F4_Export (KWh)]]</f>
        <v>376800</v>
      </c>
      <c r="DA33" s="105">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101">
        <v>96</v>
      </c>
      <c r="DD33" s="104">
        <v>53692</v>
      </c>
      <c r="DE33" s="118">
        <v>379.52</v>
      </c>
      <c r="DF33" s="115"/>
      <c r="DG33" s="117">
        <v>78</v>
      </c>
      <c r="DH33" s="183"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105">
        <f>IF(((Input_Raw[[#This Row],[33 kV_Wind_F1_Export reading]]-CJ33)*1200)&gt;0,(Input_Raw[[#This Row],[33 kV_Wind_F1_Export reading]]-CJ33)*1200,0)</f>
        <v>43200</v>
      </c>
      <c r="CS34" s="105">
        <f>IF(((Input_Raw[[#This Row],[33 kV_Wind_F1_Import reading]]-CK33)*1200)&gt;0,(Input_Raw[[#This Row],[33 kV_Wind_F1_Import reading]]-CK33)*1200,0)</f>
        <v>1200</v>
      </c>
      <c r="CT34" s="105">
        <f>IF(((Input_Raw[[#This Row],[33 kV_Wind_F2_Export_reading]]-CL33)*1200)&gt;0,(Input_Raw[[#This Row],[33 kV_Wind_F2_Export_reading]]-CL33)*1200,0)</f>
        <v>37200</v>
      </c>
      <c r="CU34" s="105">
        <f>IF(((Input_Raw[[#This Row],[33 kV_Wind_F2_Import_reading]]-CM33)*1200)&gt;0,(Input_Raw[[#This Row],[33 kV_Wind_F2_Import_reading]]-CM33)*1200,0)</f>
        <v>1200</v>
      </c>
      <c r="CV34" s="105">
        <f>IF(((Input_Raw[[#This Row],[33 kV_Wind_F3_Export_Reading]]-CN33)*1200)&gt;0,(Input_Raw[[#This Row],[33 kV_Wind_F3_Export_Reading]]-CN33)*1200,0)</f>
        <v>51600</v>
      </c>
      <c r="CW34" s="105">
        <f>IF(((Input_Raw[[#This Row],[33 kV_Wind_F3_Import_Reading]]-CO33)*1200)&gt;0,(Input_Raw[[#This Row],[33 kV_Wind_F3_Import_Reading]]-CO33)*1200,0)</f>
        <v>1200</v>
      </c>
      <c r="CX34" s="105">
        <f>IF(((Input_Raw[[#This Row],[33 kV_Wind_F4_Export Reading]]-CP33)*1200)&gt;0,(Input_Raw[[#This Row],[33 kV_Wind_F4_Export Reading]]-CP33)*1200,0)</f>
        <v>55200</v>
      </c>
      <c r="CY34" s="105">
        <f>IF(((Input_Raw[[#This Row],[33 kV_Wind_F4_Import Reading]]-CQ33)*1200)&gt;0,(Input_Raw[[#This Row],[33 kV_Wind_F4_Import Reading]]-CQ33)*1200,0)</f>
        <v>1200</v>
      </c>
      <c r="CZ34" s="105">
        <f>Input_Raw[[#This Row],[33 kV_F1_Total_Export (KWh)]]+Input_Raw[[#This Row],[33 kV_F2_Total_Export (KWh)2]]+Input_Raw[[#This Row],[33 kV_Wind_F3_Export (KWh)]]+Input_Raw[[#This Row],[33 kV_Wind_F4_Export (KWh)]]</f>
        <v>187200</v>
      </c>
      <c r="DA34" s="105">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101">
        <v>96</v>
      </c>
      <c r="DD34" s="104">
        <v>17621</v>
      </c>
      <c r="DE34" s="118">
        <v>190.11</v>
      </c>
      <c r="DF34" s="115"/>
      <c r="DG34" s="117">
        <v>78</v>
      </c>
      <c r="DH34" s="183"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105">
        <f>IF(((Input_Raw[[#This Row],[33 kV_Wind_F1_Export reading]]-CJ34)*1200)&gt;0,(Input_Raw[[#This Row],[33 kV_Wind_F1_Export reading]]-CJ34)*1200,0)</f>
        <v>69600</v>
      </c>
      <c r="CS35" s="105">
        <f>IF(((Input_Raw[[#This Row],[33 kV_Wind_F1_Import reading]]-CK34)*1200)&gt;0,(Input_Raw[[#This Row],[33 kV_Wind_F1_Import reading]]-CK34)*1200,0)</f>
        <v>0</v>
      </c>
      <c r="CT35" s="105">
        <f>IF(((Input_Raw[[#This Row],[33 kV_Wind_F2_Export_reading]]-CL34)*1200)&gt;0,(Input_Raw[[#This Row],[33 kV_Wind_F2_Export_reading]]-CL34)*1200,0)</f>
        <v>51600</v>
      </c>
      <c r="CU35" s="105">
        <f>IF(((Input_Raw[[#This Row],[33 kV_Wind_F2_Import_reading]]-CM34)*1200)&gt;0,(Input_Raw[[#This Row],[33 kV_Wind_F2_Import_reading]]-CM34)*1200,0)</f>
        <v>0</v>
      </c>
      <c r="CV35" s="105">
        <f>IF(((Input_Raw[[#This Row],[33 kV_Wind_F3_Export_Reading]]-CN34)*1200)&gt;0,(Input_Raw[[#This Row],[33 kV_Wind_F3_Export_Reading]]-CN34)*1200,0)</f>
        <v>70800</v>
      </c>
      <c r="CW35" s="105">
        <f>IF(((Input_Raw[[#This Row],[33 kV_Wind_F3_Import_Reading]]-CO34)*1200)&gt;0,(Input_Raw[[#This Row],[33 kV_Wind_F3_Import_Reading]]-CO34)*1200,0)</f>
        <v>0</v>
      </c>
      <c r="CX35" s="105">
        <f>IF(((Input_Raw[[#This Row],[33 kV_Wind_F4_Export Reading]]-CP34)*1200)&gt;0,(Input_Raw[[#This Row],[33 kV_Wind_F4_Export Reading]]-CP34)*1200,0)</f>
        <v>76800</v>
      </c>
      <c r="CY35" s="105">
        <f>IF(((Input_Raw[[#This Row],[33 kV_Wind_F4_Import Reading]]-CQ34)*1200)&gt;0,(Input_Raw[[#This Row],[33 kV_Wind_F4_Import Reading]]-CQ34)*1200,0)</f>
        <v>0</v>
      </c>
      <c r="CZ35" s="105">
        <f>Input_Raw[[#This Row],[33 kV_F1_Total_Export (KWh)]]+Input_Raw[[#This Row],[33 kV_F2_Total_Export (KWh)2]]+Input_Raw[[#This Row],[33 kV_Wind_F3_Export (KWh)]]+Input_Raw[[#This Row],[33 kV_Wind_F4_Export (KWh)]]</f>
        <v>268800</v>
      </c>
      <c r="DA35" s="105">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101">
        <v>96</v>
      </c>
      <c r="DD35" s="104">
        <v>49821</v>
      </c>
      <c r="DE35" s="118">
        <v>271.83999999999997</v>
      </c>
      <c r="DF35" s="115"/>
      <c r="DG35" s="117">
        <v>78</v>
      </c>
      <c r="DH35" s="183"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105">
        <f>IF(((Input_Raw[[#This Row],[33 kV_Wind_F1_Export reading]]-CJ35)*1200)&gt;0,(Input_Raw[[#This Row],[33 kV_Wind_F1_Export reading]]-CJ35)*1200,0)</f>
        <v>80400</v>
      </c>
      <c r="CS36" s="105">
        <f>IF(((Input_Raw[[#This Row],[33 kV_Wind_F1_Import reading]]-CK35)*1200)&gt;0,(Input_Raw[[#This Row],[33 kV_Wind_F1_Import reading]]-CK35)*1200,0)</f>
        <v>1200</v>
      </c>
      <c r="CT36" s="105">
        <f>IF(((Input_Raw[[#This Row],[33 kV_Wind_F2_Export_reading]]-CL35)*1200)&gt;0,(Input_Raw[[#This Row],[33 kV_Wind_F2_Export_reading]]-CL35)*1200,0)</f>
        <v>50400</v>
      </c>
      <c r="CU36" s="105">
        <f>IF(((Input_Raw[[#This Row],[33 kV_Wind_F2_Import_reading]]-CM35)*1200)&gt;0,(Input_Raw[[#This Row],[33 kV_Wind_F2_Import_reading]]-CM35)*1200,0)</f>
        <v>1200</v>
      </c>
      <c r="CV36" s="105">
        <f>IF(((Input_Raw[[#This Row],[33 kV_Wind_F3_Export_Reading]]-CN35)*1200)&gt;0,(Input_Raw[[#This Row],[33 kV_Wind_F3_Export_Reading]]-CN35)*1200,0)</f>
        <v>57600</v>
      </c>
      <c r="CW36" s="105">
        <f>IF(((Input_Raw[[#This Row],[33 kV_Wind_F3_Import_Reading]]-CO35)*1200)&gt;0,(Input_Raw[[#This Row],[33 kV_Wind_F3_Import_Reading]]-CO35)*1200,0)</f>
        <v>1200</v>
      </c>
      <c r="CX36" s="105">
        <f>IF(((Input_Raw[[#This Row],[33 kV_Wind_F4_Export Reading]]-CP35)*1200)&gt;0,(Input_Raw[[#This Row],[33 kV_Wind_F4_Export Reading]]-CP35)*1200,0)</f>
        <v>80400</v>
      </c>
      <c r="CY36" s="105">
        <f>IF(((Input_Raw[[#This Row],[33 kV_Wind_F4_Import Reading]]-CQ35)*1200)&gt;0,(Input_Raw[[#This Row],[33 kV_Wind_F4_Import Reading]]-CQ35)*1200,0)</f>
        <v>1200</v>
      </c>
      <c r="CZ36" s="105">
        <f>Input_Raw[[#This Row],[33 kV_F1_Total_Export (KWh)]]+Input_Raw[[#This Row],[33 kV_F2_Total_Export (KWh)2]]+Input_Raw[[#This Row],[33 kV_Wind_F3_Export (KWh)]]+Input_Raw[[#This Row],[33 kV_Wind_F4_Export (KWh)]]</f>
        <v>268800</v>
      </c>
      <c r="DA36" s="105">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101">
        <v>96</v>
      </c>
      <c r="DD36" s="104">
        <v>39915</v>
      </c>
      <c r="DE36" s="118">
        <v>271.54000000000002</v>
      </c>
      <c r="DF36" s="115"/>
      <c r="DG36" s="117">
        <v>78</v>
      </c>
      <c r="DH36" s="183"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105">
        <f>IF(((Input_Raw[[#This Row],[33 kV_Wind_F1_Export reading]]-CJ36)*1200)&gt;0,(Input_Raw[[#This Row],[33 kV_Wind_F1_Export reading]]-CJ36)*1200,0)</f>
        <v>157200</v>
      </c>
      <c r="CS37" s="105">
        <f>IF(((Input_Raw[[#This Row],[33 kV_Wind_F1_Import reading]]-CK36)*1200)&gt;0,(Input_Raw[[#This Row],[33 kV_Wind_F1_Import reading]]-CK36)*1200,0)</f>
        <v>0</v>
      </c>
      <c r="CT37" s="105">
        <f>IF(((Input_Raw[[#This Row],[33 kV_Wind_F2_Export_reading]]-CL36)*1200)&gt;0,(Input_Raw[[#This Row],[33 kV_Wind_F2_Export_reading]]-CL36)*1200,0)</f>
        <v>116400</v>
      </c>
      <c r="CU37" s="105">
        <f>IF(((Input_Raw[[#This Row],[33 kV_Wind_F2_Import_reading]]-CM36)*1200)&gt;0,(Input_Raw[[#This Row],[33 kV_Wind_F2_Import_reading]]-CM36)*1200,0)</f>
        <v>0</v>
      </c>
      <c r="CV37" s="105">
        <f>IF(((Input_Raw[[#This Row],[33 kV_Wind_F3_Export_Reading]]-CN36)*1200)&gt;0,(Input_Raw[[#This Row],[33 kV_Wind_F3_Export_Reading]]-CN36)*1200,0)</f>
        <v>141600</v>
      </c>
      <c r="CW37" s="105">
        <f>IF(((Input_Raw[[#This Row],[33 kV_Wind_F3_Import_Reading]]-CO36)*1200)&gt;0,(Input_Raw[[#This Row],[33 kV_Wind_F3_Import_Reading]]-CO36)*1200,0)</f>
        <v>0</v>
      </c>
      <c r="CX37" s="105">
        <f>IF(((Input_Raw[[#This Row],[33 kV_Wind_F4_Export Reading]]-CP36)*1200)&gt;0,(Input_Raw[[#This Row],[33 kV_Wind_F4_Export Reading]]-CP36)*1200,0)</f>
        <v>174000</v>
      </c>
      <c r="CY37" s="105">
        <f>IF(((Input_Raw[[#This Row],[33 kV_Wind_F4_Import Reading]]-CQ36)*1200)&gt;0,(Input_Raw[[#This Row],[33 kV_Wind_F4_Import Reading]]-CQ36)*1200,0)</f>
        <v>0</v>
      </c>
      <c r="CZ37" s="105">
        <f>Input_Raw[[#This Row],[33 kV_F1_Total_Export (KWh)]]+Input_Raw[[#This Row],[33 kV_F2_Total_Export (KWh)2]]+Input_Raw[[#This Row],[33 kV_Wind_F3_Export (KWh)]]+Input_Raw[[#This Row],[33 kV_Wind_F4_Export (KWh)]]</f>
        <v>589200</v>
      </c>
      <c r="DA37" s="105">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101">
        <v>96</v>
      </c>
      <c r="DD37" s="104">
        <v>129769</v>
      </c>
      <c r="DE37" s="118">
        <v>590.94000000000005</v>
      </c>
      <c r="DF37" s="115"/>
      <c r="DG37" s="117">
        <v>78</v>
      </c>
      <c r="DH37" s="183"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105">
        <f>IF(((Input_Raw[[#This Row],[33 kV_Wind_F1_Export reading]]-CJ37)*1200)&gt;0,(Input_Raw[[#This Row],[33 kV_Wind_F1_Export reading]]-CJ37)*1200,0)</f>
        <v>152400</v>
      </c>
      <c r="CS38" s="105">
        <f>IF(((Input_Raw[[#This Row],[33 kV_Wind_F1_Import reading]]-CK37)*1200)&gt;0,(Input_Raw[[#This Row],[33 kV_Wind_F1_Import reading]]-CK37)*1200,0)</f>
        <v>0</v>
      </c>
      <c r="CT38" s="105">
        <f>IF(((Input_Raw[[#This Row],[33 kV_Wind_F2_Export_reading]]-CL37)*1200)&gt;0,(Input_Raw[[#This Row],[33 kV_Wind_F2_Export_reading]]-CL37)*1200,0)</f>
        <v>116400</v>
      </c>
      <c r="CU38" s="105">
        <f>IF(((Input_Raw[[#This Row],[33 kV_Wind_F2_Import_reading]]-CM37)*1200)&gt;0,(Input_Raw[[#This Row],[33 kV_Wind_F2_Import_reading]]-CM37)*1200,0)</f>
        <v>0</v>
      </c>
      <c r="CV38" s="105">
        <f>IF(((Input_Raw[[#This Row],[33 kV_Wind_F3_Export_Reading]]-CN37)*1200)&gt;0,(Input_Raw[[#This Row],[33 kV_Wind_F3_Export_Reading]]-CN37)*1200,0)</f>
        <v>151200</v>
      </c>
      <c r="CW38" s="105">
        <f>IF(((Input_Raw[[#This Row],[33 kV_Wind_F3_Import_Reading]]-CO37)*1200)&gt;0,(Input_Raw[[#This Row],[33 kV_Wind_F3_Import_Reading]]-CO37)*1200,0)</f>
        <v>0</v>
      </c>
      <c r="CX38" s="105">
        <f>IF(((Input_Raw[[#This Row],[33 kV_Wind_F4_Export Reading]]-CP37)*1200)&gt;0,(Input_Raw[[#This Row],[33 kV_Wind_F4_Export Reading]]-CP37)*1200,0)</f>
        <v>164400</v>
      </c>
      <c r="CY38" s="105">
        <f>IF(((Input_Raw[[#This Row],[33 kV_Wind_F4_Import Reading]]-CQ37)*1200)&gt;0,(Input_Raw[[#This Row],[33 kV_Wind_F4_Import Reading]]-CQ37)*1200,0)</f>
        <v>0</v>
      </c>
      <c r="CZ38" s="105">
        <f>Input_Raw[[#This Row],[33 kV_F1_Total_Export (KWh)]]+Input_Raw[[#This Row],[33 kV_F2_Total_Export (KWh)2]]+Input_Raw[[#This Row],[33 kV_Wind_F3_Export (KWh)]]+Input_Raw[[#This Row],[33 kV_Wind_F4_Export (KWh)]]</f>
        <v>584400</v>
      </c>
      <c r="DA38" s="105">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101">
        <v>96</v>
      </c>
      <c r="DD38" s="104">
        <v>139458</v>
      </c>
      <c r="DE38" s="118">
        <v>588.28</v>
      </c>
      <c r="DF38" s="115"/>
      <c r="DG38" s="117">
        <v>78</v>
      </c>
      <c r="DH38" s="183"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105">
        <f>IF(((Input_Raw[[#This Row],[33 kV_Wind_F1_Export reading]]-CJ38)*1200)&gt;0,(Input_Raw[[#This Row],[33 kV_Wind_F1_Export reading]]-CJ38)*1200,0)</f>
        <v>117600</v>
      </c>
      <c r="CS39" s="105">
        <f>IF(((Input_Raw[[#This Row],[33 kV_Wind_F1_Import reading]]-CK38)*1200)&gt;0,(Input_Raw[[#This Row],[33 kV_Wind_F1_Import reading]]-CK38)*1200,0)</f>
        <v>0</v>
      </c>
      <c r="CT39" s="105">
        <f>IF(((Input_Raw[[#This Row],[33 kV_Wind_F2_Export_reading]]-CL38)*1200)&gt;0,(Input_Raw[[#This Row],[33 kV_Wind_F2_Export_reading]]-CL38)*1200,0)</f>
        <v>102000</v>
      </c>
      <c r="CU39" s="105">
        <f>IF(((Input_Raw[[#This Row],[33 kV_Wind_F2_Import_reading]]-CM38)*1200)&gt;0,(Input_Raw[[#This Row],[33 kV_Wind_F2_Import_reading]]-CM38)*1200,0)</f>
        <v>0</v>
      </c>
      <c r="CV39" s="105">
        <f>IF(((Input_Raw[[#This Row],[33 kV_Wind_F3_Export_Reading]]-CN38)*1200)&gt;0,(Input_Raw[[#This Row],[33 kV_Wind_F3_Export_Reading]]-CN38)*1200,0)</f>
        <v>112800</v>
      </c>
      <c r="CW39" s="105">
        <f>IF(((Input_Raw[[#This Row],[33 kV_Wind_F3_Import_Reading]]-CO38)*1200)&gt;0,(Input_Raw[[#This Row],[33 kV_Wind_F3_Import_Reading]]-CO38)*1200,0)</f>
        <v>0</v>
      </c>
      <c r="CX39" s="105">
        <f>IF(((Input_Raw[[#This Row],[33 kV_Wind_F4_Export Reading]]-CP38)*1200)&gt;0,(Input_Raw[[#This Row],[33 kV_Wind_F4_Export Reading]]-CP38)*1200,0)</f>
        <v>136800</v>
      </c>
      <c r="CY39" s="105">
        <f>IF(((Input_Raw[[#This Row],[33 kV_Wind_F4_Import Reading]]-CQ38)*1200)&gt;0,(Input_Raw[[#This Row],[33 kV_Wind_F4_Import Reading]]-CQ38)*1200,0)</f>
        <v>0</v>
      </c>
      <c r="CZ39" s="105">
        <f>Input_Raw[[#This Row],[33 kV_F1_Total_Export (KWh)]]+Input_Raw[[#This Row],[33 kV_F2_Total_Export (KWh)2]]+Input_Raw[[#This Row],[33 kV_Wind_F3_Export (KWh)]]+Input_Raw[[#This Row],[33 kV_Wind_F4_Export (KWh)]]</f>
        <v>469200</v>
      </c>
      <c r="DA39" s="105">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101">
        <v>96</v>
      </c>
      <c r="DD39" s="104">
        <v>152479</v>
      </c>
      <c r="DE39" s="118">
        <v>491.49</v>
      </c>
      <c r="DF39" s="115"/>
      <c r="DG39" s="117">
        <v>78</v>
      </c>
      <c r="DH39" s="183"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103">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105">
        <f>IF(((Input_Raw[[#This Row],[33 kV_Wind_F1_Export reading]]-CJ39)*1200)&gt;0,(Input_Raw[[#This Row],[33 kV_Wind_F1_Export reading]]-CJ39)*1200,0)</f>
        <v>146400</v>
      </c>
      <c r="CS40" s="105">
        <f>IF(((Input_Raw[[#This Row],[33 kV_Wind_F1_Import reading]]-CK39)*1200)&gt;0,(Input_Raw[[#This Row],[33 kV_Wind_F1_Import reading]]-CK39)*1200,0)</f>
        <v>0</v>
      </c>
      <c r="CT40" s="105">
        <f>IF(((Input_Raw[[#This Row],[33 kV_Wind_F2_Export_reading]]-CL39)*1200)&gt;0,(Input_Raw[[#This Row],[33 kV_Wind_F2_Export_reading]]-CL39)*1200,0)</f>
        <v>132000</v>
      </c>
      <c r="CU40" s="105">
        <f>IF(((Input_Raw[[#This Row],[33 kV_Wind_F2_Import_reading]]-CM39)*1200)&gt;0,(Input_Raw[[#This Row],[33 kV_Wind_F2_Import_reading]]-CM39)*1200,0)</f>
        <v>1200</v>
      </c>
      <c r="CV40" s="105">
        <f>IF(((Input_Raw[[#This Row],[33 kV_Wind_F3_Export_Reading]]-CN39)*1200)&gt;0,(Input_Raw[[#This Row],[33 kV_Wind_F3_Export_Reading]]-CN39)*1200,0)</f>
        <v>156000</v>
      </c>
      <c r="CW40" s="105">
        <f>IF(((Input_Raw[[#This Row],[33 kV_Wind_F3_Import_Reading]]-CO39)*1200)&gt;0,(Input_Raw[[#This Row],[33 kV_Wind_F3_Import_Reading]]-CO39)*1200,0)</f>
        <v>0</v>
      </c>
      <c r="CX40" s="105">
        <f>IF(((Input_Raw[[#This Row],[33 kV_Wind_F4_Export Reading]]-CP39)*1200)&gt;0,(Input_Raw[[#This Row],[33 kV_Wind_F4_Export Reading]]-CP39)*1200,0)</f>
        <v>180000</v>
      </c>
      <c r="CY40" s="105">
        <f>IF(((Input_Raw[[#This Row],[33 kV_Wind_F4_Import Reading]]-CQ39)*1200)&gt;0,(Input_Raw[[#This Row],[33 kV_Wind_F4_Import Reading]]-CQ39)*1200,0)</f>
        <v>0</v>
      </c>
      <c r="CZ40" s="105">
        <f>Input_Raw[[#This Row],[33 kV_F1_Total_Export (KWh)]]+Input_Raw[[#This Row],[33 kV_F2_Total_Export (KWh)2]]+Input_Raw[[#This Row],[33 kV_Wind_F3_Export (KWh)]]+Input_Raw[[#This Row],[33 kV_Wind_F4_Export (KWh)]]</f>
        <v>614400</v>
      </c>
      <c r="DA40" s="105">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101">
        <v>96</v>
      </c>
      <c r="DD40" s="104">
        <v>208104</v>
      </c>
      <c r="DE40" s="118">
        <v>616.13</v>
      </c>
      <c r="DF40" s="115"/>
      <c r="DG40" s="117">
        <v>78</v>
      </c>
      <c r="DH40" s="184"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105">
        <f>IF(((Input_Raw[[#This Row],[33 kV_Wind_F1_Export reading]]-CJ40)*1200)&gt;0,(Input_Raw[[#This Row],[33 kV_Wind_F1_Export reading]]-CJ40)*1200,0)</f>
        <v>79200</v>
      </c>
      <c r="CS41" s="105">
        <f>IF(((Input_Raw[[#This Row],[33 kV_Wind_F1_Import reading]]-CK40)*1200)&gt;0,(Input_Raw[[#This Row],[33 kV_Wind_F1_Import reading]]-CK40)*1200,0)</f>
        <v>1200</v>
      </c>
      <c r="CT41" s="105">
        <f>IF(((Input_Raw[[#This Row],[33 kV_Wind_F2_Export_reading]]-CL40)*1200)&gt;0,(Input_Raw[[#This Row],[33 kV_Wind_F2_Export_reading]]-CL40)*1200,0)</f>
        <v>88800</v>
      </c>
      <c r="CU41" s="105">
        <f>IF(((Input_Raw[[#This Row],[33 kV_Wind_F2_Import_reading]]-CM40)*1200)&gt;0,(Input_Raw[[#This Row],[33 kV_Wind_F2_Import_reading]]-CM40)*1200,0)</f>
        <v>0</v>
      </c>
      <c r="CV41" s="105">
        <f>IF(((Input_Raw[[#This Row],[33 kV_Wind_F3_Export_Reading]]-CN40)*1200)&gt;0,(Input_Raw[[#This Row],[33 kV_Wind_F3_Export_Reading]]-CN40)*1200,0)</f>
        <v>98400</v>
      </c>
      <c r="CW41" s="105">
        <f>IF(((Input_Raw[[#This Row],[33 kV_Wind_F3_Import_Reading]]-CO40)*1200)&gt;0,(Input_Raw[[#This Row],[33 kV_Wind_F3_Import_Reading]]-CO40)*1200,0)</f>
        <v>1200</v>
      </c>
      <c r="CX41" s="105">
        <f>IF(((Input_Raw[[#This Row],[33 kV_Wind_F4_Export Reading]]-CP40)*1200)&gt;0,(Input_Raw[[#This Row],[33 kV_Wind_F4_Export Reading]]-CP40)*1200,0)</f>
        <v>130800</v>
      </c>
      <c r="CY41" s="105">
        <f>IF(((Input_Raw[[#This Row],[33 kV_Wind_F4_Import Reading]]-CQ40)*1200)&gt;0,(Input_Raw[[#This Row],[33 kV_Wind_F4_Import Reading]]-CQ40)*1200,0)</f>
        <v>1200</v>
      </c>
      <c r="CZ41" s="105">
        <f>Input_Raw[[#This Row],[33 kV_F1_Total_Export (KWh)]]+Input_Raw[[#This Row],[33 kV_F2_Total_Export (KWh)2]]+Input_Raw[[#This Row],[33 kV_Wind_F3_Export (KWh)]]+Input_Raw[[#This Row],[33 kV_Wind_F4_Export (KWh)]]</f>
        <v>397200</v>
      </c>
      <c r="DA41" s="105">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101">
        <v>96</v>
      </c>
      <c r="DD41" s="104">
        <v>7564</v>
      </c>
      <c r="DE41" s="118">
        <v>404.17</v>
      </c>
      <c r="DF41" s="115"/>
      <c r="DG41" s="117">
        <v>78</v>
      </c>
      <c r="DH41" s="184"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105">
        <f>IF(((Input_Raw[[#This Row],[33 kV_Wind_F1_Export reading]]-CJ41)*1200)&gt;0,(Input_Raw[[#This Row],[33 kV_Wind_F1_Export reading]]-CJ41)*1200,0)</f>
        <v>51600</v>
      </c>
      <c r="CS42" s="105">
        <f>IF(((Input_Raw[[#This Row],[33 kV_Wind_F1_Import reading]]-CK41)*1200)&gt;0,(Input_Raw[[#This Row],[33 kV_Wind_F1_Import reading]]-CK41)*1200,0)</f>
        <v>0</v>
      </c>
      <c r="CT42" s="105">
        <f>IF(((Input_Raw[[#This Row],[33 kV_Wind_F2_Export_reading]]-CL41)*1200)&gt;0,(Input_Raw[[#This Row],[33 kV_Wind_F2_Export_reading]]-CL41)*1200,0)</f>
        <v>57600</v>
      </c>
      <c r="CU42" s="105">
        <f>IF(((Input_Raw[[#This Row],[33 kV_Wind_F2_Import_reading]]-CM41)*1200)&gt;0,(Input_Raw[[#This Row],[33 kV_Wind_F2_Import_reading]]-CM41)*1200,0)</f>
        <v>0</v>
      </c>
      <c r="CV42" s="105">
        <f>IF(((Input_Raw[[#This Row],[33 kV_Wind_F3_Export_Reading]]-CN41)*1200)&gt;0,(Input_Raw[[#This Row],[33 kV_Wind_F3_Export_Reading]]-CN41)*1200,0)</f>
        <v>72000</v>
      </c>
      <c r="CW42" s="105">
        <f>IF(((Input_Raw[[#This Row],[33 kV_Wind_F3_Import_Reading]]-CO41)*1200)&gt;0,(Input_Raw[[#This Row],[33 kV_Wind_F3_Import_Reading]]-CO41)*1200,0)</f>
        <v>0</v>
      </c>
      <c r="CX42" s="105">
        <f>IF(((Input_Raw[[#This Row],[33 kV_Wind_F4_Export Reading]]-CP41)*1200)&gt;0,(Input_Raw[[#This Row],[33 kV_Wind_F4_Export Reading]]-CP41)*1200,0)</f>
        <v>81600</v>
      </c>
      <c r="CY42" s="105">
        <f>IF(((Input_Raw[[#This Row],[33 kV_Wind_F4_Import Reading]]-CQ41)*1200)&gt;0,(Input_Raw[[#This Row],[33 kV_Wind_F4_Import Reading]]-CQ41)*1200,0)</f>
        <v>0</v>
      </c>
      <c r="CZ42" s="105">
        <f>Input_Raw[[#This Row],[33 kV_F1_Total_Export (KWh)]]+Input_Raw[[#This Row],[33 kV_F2_Total_Export (KWh)2]]+Input_Raw[[#This Row],[33 kV_Wind_F3_Export (KWh)]]+Input_Raw[[#This Row],[33 kV_Wind_F4_Export (KWh)]]</f>
        <v>262800</v>
      </c>
      <c r="DA42" s="105">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101">
        <v>96</v>
      </c>
      <c r="DD42" s="104">
        <v>53090</v>
      </c>
      <c r="DE42" s="118">
        <v>266.31</v>
      </c>
      <c r="DF42" s="115"/>
      <c r="DG42" s="117">
        <v>78</v>
      </c>
      <c r="DH42" s="184"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105">
        <f>IF(((Input_Raw[[#This Row],[33 kV_Wind_F1_Export reading]]-CJ42)*1200)&gt;0,(Input_Raw[[#This Row],[33 kV_Wind_F1_Export reading]]-CJ42)*1200,0)</f>
        <v>63600</v>
      </c>
      <c r="CS43" s="105">
        <f>IF(((Input_Raw[[#This Row],[33 kV_Wind_F1_Import reading]]-CK42)*1200)&gt;0,(Input_Raw[[#This Row],[33 kV_Wind_F1_Import reading]]-CK42)*1200,0)</f>
        <v>1200</v>
      </c>
      <c r="CT43" s="105">
        <f>IF(((Input_Raw[[#This Row],[33 kV_Wind_F2_Export_reading]]-CL42)*1200)&gt;0,(Input_Raw[[#This Row],[33 kV_Wind_F2_Export_reading]]-CL42)*1200,0)</f>
        <v>64800</v>
      </c>
      <c r="CU43" s="105">
        <f>IF(((Input_Raw[[#This Row],[33 kV_Wind_F2_Import_reading]]-CM42)*1200)&gt;0,(Input_Raw[[#This Row],[33 kV_Wind_F2_Import_reading]]-CM42)*1200,0)</f>
        <v>1200</v>
      </c>
      <c r="CV43" s="105">
        <f>IF(((Input_Raw[[#This Row],[33 kV_Wind_F3_Export_Reading]]-CN42)*1200)&gt;0,(Input_Raw[[#This Row],[33 kV_Wind_F3_Export_Reading]]-CN42)*1200,0)</f>
        <v>82800</v>
      </c>
      <c r="CW43" s="105">
        <f>IF(((Input_Raw[[#This Row],[33 kV_Wind_F3_Import_Reading]]-CO42)*1200)&gt;0,(Input_Raw[[#This Row],[33 kV_Wind_F3_Import_Reading]]-CO42)*1200,0)</f>
        <v>1200</v>
      </c>
      <c r="CX43" s="105">
        <f>IF(((Input_Raw[[#This Row],[33 kV_Wind_F4_Export Reading]]-CP42)*1200)&gt;0,(Input_Raw[[#This Row],[33 kV_Wind_F4_Export Reading]]-CP42)*1200,0)</f>
        <v>93600</v>
      </c>
      <c r="CY43" s="105">
        <f>IF(((Input_Raw[[#This Row],[33 kV_Wind_F4_Import Reading]]-CQ42)*1200)&gt;0,(Input_Raw[[#This Row],[33 kV_Wind_F4_Import Reading]]-CQ42)*1200,0)</f>
        <v>1200</v>
      </c>
      <c r="CZ43" s="105">
        <f>Input_Raw[[#This Row],[33 kV_F1_Total_Export (KWh)]]+Input_Raw[[#This Row],[33 kV_F2_Total_Export (KWh)2]]+Input_Raw[[#This Row],[33 kV_Wind_F3_Export (KWh)]]+Input_Raw[[#This Row],[33 kV_Wind_F4_Export (KWh)]]</f>
        <v>304800</v>
      </c>
      <c r="DA43" s="105">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101">
        <v>96</v>
      </c>
      <c r="DD43" s="104">
        <v>42452</v>
      </c>
      <c r="DE43" s="118">
        <v>306.8</v>
      </c>
      <c r="DF43" s="115"/>
      <c r="DG43" s="117">
        <v>78</v>
      </c>
      <c r="DH43" s="184"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105">
        <f>IF(((Input_Raw[[#This Row],[33 kV_Wind_F1_Export reading]]-CJ43)*1200)&gt;0,(Input_Raw[[#This Row],[33 kV_Wind_F1_Export reading]]-CJ43)*1200,0)</f>
        <v>44400</v>
      </c>
      <c r="CS44" s="105">
        <f>IF(((Input_Raw[[#This Row],[33 kV_Wind_F1_Import reading]]-CK43)*1200)&gt;0,(Input_Raw[[#This Row],[33 kV_Wind_F1_Import reading]]-CK43)*1200,0)</f>
        <v>0</v>
      </c>
      <c r="CT44" s="105">
        <f>IF(((Input_Raw[[#This Row],[33 kV_Wind_F2_Export_reading]]-CL43)*1200)&gt;0,(Input_Raw[[#This Row],[33 kV_Wind_F2_Export_reading]]-CL43)*1200,0)</f>
        <v>42000</v>
      </c>
      <c r="CU44" s="105">
        <f>IF(((Input_Raw[[#This Row],[33 kV_Wind_F2_Import_reading]]-CM43)*1200)&gt;0,(Input_Raw[[#This Row],[33 kV_Wind_F2_Import_reading]]-CM43)*1200,0)</f>
        <v>0</v>
      </c>
      <c r="CV44" s="105">
        <f>IF(((Input_Raw[[#This Row],[33 kV_Wind_F3_Export_Reading]]-CN43)*1200)&gt;0,(Input_Raw[[#This Row],[33 kV_Wind_F3_Export_Reading]]-CN43)*1200,0)</f>
        <v>106800</v>
      </c>
      <c r="CW44" s="105">
        <f>IF(((Input_Raw[[#This Row],[33 kV_Wind_F3_Import_Reading]]-CO43)*1200)&gt;0,(Input_Raw[[#This Row],[33 kV_Wind_F3_Import_Reading]]-CO43)*1200,0)</f>
        <v>0</v>
      </c>
      <c r="CX44" s="105">
        <f>IF(((Input_Raw[[#This Row],[33 kV_Wind_F4_Export Reading]]-CP43)*1200)&gt;0,(Input_Raw[[#This Row],[33 kV_Wind_F4_Export Reading]]-CP43)*1200,0)</f>
        <v>142800</v>
      </c>
      <c r="CY44" s="105">
        <f>IF(((Input_Raw[[#This Row],[33 kV_Wind_F4_Import Reading]]-CQ43)*1200)&gt;0,(Input_Raw[[#This Row],[33 kV_Wind_F4_Import Reading]]-CQ43)*1200,0)</f>
        <v>0</v>
      </c>
      <c r="CZ44" s="105">
        <f>Input_Raw[[#This Row],[33 kV_F1_Total_Export (KWh)]]+Input_Raw[[#This Row],[33 kV_F2_Total_Export (KWh)2]]+Input_Raw[[#This Row],[33 kV_Wind_F3_Export (KWh)]]+Input_Raw[[#This Row],[33 kV_Wind_F4_Export (KWh)]]</f>
        <v>336000</v>
      </c>
      <c r="DA44" s="105">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16">
        <v>96</v>
      </c>
      <c r="DD44" s="101">
        <v>45221</v>
      </c>
      <c r="DE44" s="118">
        <v>351.12</v>
      </c>
      <c r="DF44" s="115"/>
      <c r="DG44" s="117">
        <v>78</v>
      </c>
      <c r="DH44" s="184"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105">
        <f>IF(((Input_Raw[[#This Row],[33 kV_Wind_F1_Export reading]]-CJ44)*1200)&gt;0,(Input_Raw[[#This Row],[33 kV_Wind_F1_Export reading]]-CJ44)*1200,0)</f>
        <v>64800</v>
      </c>
      <c r="CS45" s="105">
        <f>IF(((Input_Raw[[#This Row],[33 kV_Wind_F1_Import reading]]-CK44)*1200)&gt;0,(Input_Raw[[#This Row],[33 kV_Wind_F1_Import reading]]-CK44)*1200,0)</f>
        <v>0</v>
      </c>
      <c r="CT45" s="105">
        <f>IF(((Input_Raw[[#This Row],[33 kV_Wind_F2_Export_reading]]-CL44)*1200)&gt;0,(Input_Raw[[#This Row],[33 kV_Wind_F2_Export_reading]]-CL44)*1200,0)</f>
        <v>60000</v>
      </c>
      <c r="CU45" s="105">
        <f>IF(((Input_Raw[[#This Row],[33 kV_Wind_F2_Import_reading]]-CM44)*1200)&gt;0,(Input_Raw[[#This Row],[33 kV_Wind_F2_Import_reading]]-CM44)*1200,0)</f>
        <v>0</v>
      </c>
      <c r="CV45" s="105">
        <f>IF(((Input_Raw[[#This Row],[33 kV_Wind_F3_Export_Reading]]-CN44)*1200)&gt;0,(Input_Raw[[#This Row],[33 kV_Wind_F3_Export_Reading]]-CN44)*1200,0)</f>
        <v>78000</v>
      </c>
      <c r="CW45" s="105">
        <f>IF(((Input_Raw[[#This Row],[33 kV_Wind_F3_Import_Reading]]-CO44)*1200)&gt;0,(Input_Raw[[#This Row],[33 kV_Wind_F3_Import_Reading]]-CO44)*1200,0)</f>
        <v>0</v>
      </c>
      <c r="CX45" s="105">
        <f>IF(((Input_Raw[[#This Row],[33 kV_Wind_F4_Export Reading]]-CP44)*1200)&gt;0,(Input_Raw[[#This Row],[33 kV_Wind_F4_Export Reading]]-CP44)*1200,0)</f>
        <v>108000</v>
      </c>
      <c r="CY45" s="105">
        <f>IF(((Input_Raw[[#This Row],[33 kV_Wind_F4_Import Reading]]-CQ44)*1200)&gt;0,(Input_Raw[[#This Row],[33 kV_Wind_F4_Import Reading]]-CQ44)*1200,0)</f>
        <v>0</v>
      </c>
      <c r="CZ45" s="105">
        <f>Input_Raw[[#This Row],[33 kV_F1_Total_Export (KWh)]]+Input_Raw[[#This Row],[33 kV_F2_Total_Export (KWh)2]]+Input_Raw[[#This Row],[33 kV_Wind_F3_Export (KWh)]]+Input_Raw[[#This Row],[33 kV_Wind_F4_Export (KWh)]]</f>
        <v>310800</v>
      </c>
      <c r="DA45" s="105">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16">
        <v>96</v>
      </c>
      <c r="DD45" s="101">
        <v>53455</v>
      </c>
      <c r="DE45" s="118">
        <v>315.25</v>
      </c>
      <c r="DF45" s="115"/>
      <c r="DG45" s="117">
        <v>78</v>
      </c>
      <c r="DH45" s="184"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105">
        <f>IF(((Input_Raw[[#This Row],[33 kV_Wind_F1_Export reading]]-CJ45)*1200)&gt;0,(Input_Raw[[#This Row],[33 kV_Wind_F1_Export reading]]-CJ45)*1200,0)</f>
        <v>33600</v>
      </c>
      <c r="CS46" s="105">
        <f>IF(((Input_Raw[[#This Row],[33 kV_Wind_F1_Import reading]]-CK45)*1200)&gt;0,(Input_Raw[[#This Row],[33 kV_Wind_F1_Import reading]]-CK45)*1200,0)</f>
        <v>1200</v>
      </c>
      <c r="CT46" s="105">
        <f>IF(((Input_Raw[[#This Row],[33 kV_Wind_F2_Export_reading]]-CL45)*1200)&gt;0,(Input_Raw[[#This Row],[33 kV_Wind_F2_Export_reading]]-CL45)*1200,0)</f>
        <v>36000</v>
      </c>
      <c r="CU46" s="105">
        <f>IF(((Input_Raw[[#This Row],[33 kV_Wind_F2_Import_reading]]-CM45)*1200)&gt;0,(Input_Raw[[#This Row],[33 kV_Wind_F2_Import_reading]]-CM45)*1200,0)</f>
        <v>1200</v>
      </c>
      <c r="CV46" s="105">
        <f>IF(((Input_Raw[[#This Row],[33 kV_Wind_F3_Export_Reading]]-CN45)*1200)&gt;0,(Input_Raw[[#This Row],[33 kV_Wind_F3_Export_Reading]]-CN45)*1200,0)</f>
        <v>33600</v>
      </c>
      <c r="CW46" s="105">
        <f>IF(((Input_Raw[[#This Row],[33 kV_Wind_F3_Import_Reading]]-CO45)*1200)&gt;0,(Input_Raw[[#This Row],[33 kV_Wind_F3_Import_Reading]]-CO45)*1200,0)</f>
        <v>1200</v>
      </c>
      <c r="CX46" s="105">
        <f>IF(((Input_Raw[[#This Row],[33 kV_Wind_F4_Export Reading]]-CP45)*1200)&gt;0,(Input_Raw[[#This Row],[33 kV_Wind_F4_Export Reading]]-CP45)*1200,0)</f>
        <v>38400</v>
      </c>
      <c r="CY46" s="105">
        <f>IF(((Input_Raw[[#This Row],[33 kV_Wind_F4_Import Reading]]-CQ45)*1200)&gt;0,(Input_Raw[[#This Row],[33 kV_Wind_F4_Import Reading]]-CQ45)*1200,0)</f>
        <v>1200</v>
      </c>
      <c r="CZ46" s="105">
        <f>Input_Raw[[#This Row],[33 kV_F1_Total_Export (KWh)]]+Input_Raw[[#This Row],[33 kV_F2_Total_Export (KWh)2]]+Input_Raw[[#This Row],[33 kV_Wind_F3_Export (KWh)]]+Input_Raw[[#This Row],[33 kV_Wind_F4_Export (KWh)]]</f>
        <v>141600</v>
      </c>
      <c r="DA46" s="105">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16">
        <v>44</v>
      </c>
      <c r="DD46" s="116">
        <v>3437</v>
      </c>
      <c r="DE46" s="118">
        <v>144.82</v>
      </c>
      <c r="DF46" s="115"/>
      <c r="DG46" s="117">
        <v>78</v>
      </c>
      <c r="DH46" s="184"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105">
        <f>IF(((Input_Raw[[#This Row],[33 kV_Wind_F1_Export reading]]-CJ46)*1200)&gt;0,(Input_Raw[[#This Row],[33 kV_Wind_F1_Export reading]]-CJ46)*1200,0)</f>
        <v>33600</v>
      </c>
      <c r="CS47" s="105">
        <f>IF(((Input_Raw[[#This Row],[33 kV_Wind_F1_Import reading]]-CK46)*1200)&gt;0,(Input_Raw[[#This Row],[33 kV_Wind_F1_Import reading]]-CK46)*1200,0)</f>
        <v>1200</v>
      </c>
      <c r="CT47" s="105">
        <f>IF(((Input_Raw[[#This Row],[33 kV_Wind_F2_Export_reading]]-CL46)*1200)&gt;0,(Input_Raw[[#This Row],[33 kV_Wind_F2_Export_reading]]-CL46)*1200,0)</f>
        <v>32400</v>
      </c>
      <c r="CU47" s="105">
        <f>IF(((Input_Raw[[#This Row],[33 kV_Wind_F2_Import_reading]]-CM46)*1200)&gt;0,(Input_Raw[[#This Row],[33 kV_Wind_F2_Import_reading]]-CM46)*1200,0)</f>
        <v>0</v>
      </c>
      <c r="CV47" s="105">
        <f>IF(((Input_Raw[[#This Row],[33 kV_Wind_F3_Export_Reading]]-CN46)*1200)&gt;0,(Input_Raw[[#This Row],[33 kV_Wind_F3_Export_Reading]]-CN46)*1200,0)</f>
        <v>56400</v>
      </c>
      <c r="CW47" s="105">
        <f>IF(((Input_Raw[[#This Row],[33 kV_Wind_F3_Import_Reading]]-CO46)*1200)&gt;0,(Input_Raw[[#This Row],[33 kV_Wind_F3_Import_Reading]]-CO46)*1200,0)</f>
        <v>1200</v>
      </c>
      <c r="CX47" s="105">
        <f>IF(((Input_Raw[[#This Row],[33 kV_Wind_F4_Export Reading]]-CP46)*1200)&gt;0,(Input_Raw[[#This Row],[33 kV_Wind_F4_Export Reading]]-CP46)*1200,0)</f>
        <v>69600</v>
      </c>
      <c r="CY47" s="105">
        <f>IF(((Input_Raw[[#This Row],[33 kV_Wind_F4_Import Reading]]-CQ46)*1200)&gt;0,(Input_Raw[[#This Row],[33 kV_Wind_F4_Import Reading]]-CQ46)*1200,0)</f>
        <v>1200</v>
      </c>
      <c r="CZ47" s="105">
        <f>Input_Raw[[#This Row],[33 kV_F1_Total_Export (KWh)]]+Input_Raw[[#This Row],[33 kV_F2_Total_Export (KWh)2]]+Input_Raw[[#This Row],[33 kV_Wind_F3_Export (KWh)]]+Input_Raw[[#This Row],[33 kV_Wind_F4_Export (KWh)]]</f>
        <v>192000</v>
      </c>
      <c r="DA47" s="105">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16">
        <v>0</v>
      </c>
      <c r="DD47" s="116">
        <v>0</v>
      </c>
      <c r="DE47" s="118">
        <v>194.22</v>
      </c>
      <c r="DF47" s="115"/>
      <c r="DG47" s="117">
        <v>78</v>
      </c>
      <c r="DH47" s="184"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105">
        <f>IF(((Input_Raw[[#This Row],[33 kV_Wind_F1_Export reading]]-CJ47)*1200)&gt;0,(Input_Raw[[#This Row],[33 kV_Wind_F1_Export reading]]-CJ47)*1200,0)</f>
        <v>62400</v>
      </c>
      <c r="CS48" s="105">
        <f>IF(((Input_Raw[[#This Row],[33 kV_Wind_F1_Import reading]]-CK47)*1200)&gt;0,(Input_Raw[[#This Row],[33 kV_Wind_F1_Import reading]]-CK47)*1200,0)</f>
        <v>0</v>
      </c>
      <c r="CT48" s="105">
        <f>IF(((Input_Raw[[#This Row],[33 kV_Wind_F2_Export_reading]]-CL47)*1200)&gt;0,(Input_Raw[[#This Row],[33 kV_Wind_F2_Export_reading]]-CL47)*1200,0)</f>
        <v>58800</v>
      </c>
      <c r="CU48" s="105">
        <f>IF(((Input_Raw[[#This Row],[33 kV_Wind_F2_Import_reading]]-CM47)*1200)&gt;0,(Input_Raw[[#This Row],[33 kV_Wind_F2_Import_reading]]-CM47)*1200,0)</f>
        <v>1200</v>
      </c>
      <c r="CV48" s="105">
        <f>IF(((Input_Raw[[#This Row],[33 kV_Wind_F3_Export_Reading]]-CN47)*1200)&gt;0,(Input_Raw[[#This Row],[33 kV_Wind_F3_Export_Reading]]-CN47)*1200,0)</f>
        <v>103200</v>
      </c>
      <c r="CW48" s="105">
        <f>IF(((Input_Raw[[#This Row],[33 kV_Wind_F3_Import_Reading]]-CO47)*1200)&gt;0,(Input_Raw[[#This Row],[33 kV_Wind_F3_Import_Reading]]-CO47)*1200,0)</f>
        <v>0</v>
      </c>
      <c r="CX48" s="105">
        <f>IF(((Input_Raw[[#This Row],[33 kV_Wind_F4_Export Reading]]-CP47)*1200)&gt;0,(Input_Raw[[#This Row],[33 kV_Wind_F4_Export Reading]]-CP47)*1200,0)</f>
        <v>110400</v>
      </c>
      <c r="CY48" s="105">
        <f>IF(((Input_Raw[[#This Row],[33 kV_Wind_F4_Import Reading]]-CQ47)*1200)&gt;0,(Input_Raw[[#This Row],[33 kV_Wind_F4_Import Reading]]-CQ47)*1200,0)</f>
        <v>0</v>
      </c>
      <c r="CZ48" s="105">
        <f>Input_Raw[[#This Row],[33 kV_F1_Total_Export (KWh)]]+Input_Raw[[#This Row],[33 kV_F2_Total_Export (KWh)2]]+Input_Raw[[#This Row],[33 kV_Wind_F3_Export (KWh)]]+Input_Raw[[#This Row],[33 kV_Wind_F4_Export (KWh)]]</f>
        <v>334800</v>
      </c>
      <c r="DA48" s="105">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16">
        <v>0</v>
      </c>
      <c r="DD48" s="116">
        <v>0</v>
      </c>
      <c r="DE48" s="118">
        <v>338.2</v>
      </c>
      <c r="DF48" s="115"/>
      <c r="DG48" s="117">
        <v>78</v>
      </c>
      <c r="DH48" s="184"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105">
        <f>IF(((Input_Raw[[#This Row],[33 kV_Wind_F1_Export reading]]-CJ48)*1200)&gt;0,(Input_Raw[[#This Row],[33 kV_Wind_F1_Export reading]]-CJ48)*1200,0)</f>
        <v>26400</v>
      </c>
      <c r="CS49" s="105">
        <f>IF(((Input_Raw[[#This Row],[33 kV_Wind_F1_Import reading]]-CK48)*1200)&gt;0,(Input_Raw[[#This Row],[33 kV_Wind_F1_Import reading]]-CK48)*1200,0)</f>
        <v>1200</v>
      </c>
      <c r="CT49" s="105">
        <f>IF(((Input_Raw[[#This Row],[33 kV_Wind_F2_Export_reading]]-CL48)*1200)&gt;0,(Input_Raw[[#This Row],[33 kV_Wind_F2_Export_reading]]-CL48)*1200,0)</f>
        <v>25200</v>
      </c>
      <c r="CU49" s="105">
        <f>IF(((Input_Raw[[#This Row],[33 kV_Wind_F2_Import_reading]]-CM48)*1200)&gt;0,(Input_Raw[[#This Row],[33 kV_Wind_F2_Import_reading]]-CM48)*1200,0)</f>
        <v>0</v>
      </c>
      <c r="CV49" s="105">
        <f>IF(((Input_Raw[[#This Row],[33 kV_Wind_F3_Export_Reading]]-CN48)*1200)&gt;0,(Input_Raw[[#This Row],[33 kV_Wind_F3_Export_Reading]]-CN48)*1200,0)</f>
        <v>26400</v>
      </c>
      <c r="CW49" s="105">
        <f>IF(((Input_Raw[[#This Row],[33 kV_Wind_F3_Import_Reading]]-CO48)*1200)&gt;0,(Input_Raw[[#This Row],[33 kV_Wind_F3_Import_Reading]]-CO48)*1200,0)</f>
        <v>0</v>
      </c>
      <c r="CX49" s="105">
        <f>IF(((Input_Raw[[#This Row],[33 kV_Wind_F4_Export Reading]]-CP48)*1200)&gt;0,(Input_Raw[[#This Row],[33 kV_Wind_F4_Export Reading]]-CP48)*1200,0)</f>
        <v>33600</v>
      </c>
      <c r="CY49" s="105">
        <f>IF(((Input_Raw[[#This Row],[33 kV_Wind_F4_Import Reading]]-CQ48)*1200)&gt;0,(Input_Raw[[#This Row],[33 kV_Wind_F4_Import Reading]]-CQ48)*1200,0)</f>
        <v>1200</v>
      </c>
      <c r="CZ49" s="105">
        <f>Input_Raw[[#This Row],[33 kV_F1_Total_Export (KWh)]]+Input_Raw[[#This Row],[33 kV_F2_Total_Export (KWh)2]]+Input_Raw[[#This Row],[33 kV_Wind_F3_Export (KWh)]]+Input_Raw[[#This Row],[33 kV_Wind_F4_Export (KWh)]]</f>
        <v>111600</v>
      </c>
      <c r="DA49" s="105">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16">
        <v>0</v>
      </c>
      <c r="DD49" s="116">
        <v>0</v>
      </c>
      <c r="DE49" s="118">
        <v>112.66</v>
      </c>
      <c r="DF49" s="115"/>
      <c r="DG49" s="117">
        <v>78</v>
      </c>
      <c r="DH49" s="184"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105">
        <f>IF(((Input_Raw[[#This Row],[33 kV_Wind_F1_Export reading]]-CJ49)*1200)&gt;0,(Input_Raw[[#This Row],[33 kV_Wind_F1_Export reading]]-CJ49)*1200,0)</f>
        <v>36000</v>
      </c>
      <c r="CS50" s="105">
        <f>IF(((Input_Raw[[#This Row],[33 kV_Wind_F1_Import reading]]-CK49)*1200)&gt;0,(Input_Raw[[#This Row],[33 kV_Wind_F1_Import reading]]-CK49)*1200,0)</f>
        <v>1200</v>
      </c>
      <c r="CT50" s="105">
        <f>IF(((Input_Raw[[#This Row],[33 kV_Wind_F2_Export_reading]]-CL49)*1200)&gt;0,(Input_Raw[[#This Row],[33 kV_Wind_F2_Export_reading]]-CL49)*1200,0)</f>
        <v>34800</v>
      </c>
      <c r="CU50" s="105">
        <f>IF(((Input_Raw[[#This Row],[33 kV_Wind_F2_Import_reading]]-CM49)*1200)&gt;0,(Input_Raw[[#This Row],[33 kV_Wind_F2_Import_reading]]-CM49)*1200,0)</f>
        <v>1200</v>
      </c>
      <c r="CV50" s="105">
        <f>IF(((Input_Raw[[#This Row],[33 kV_Wind_F3_Export_Reading]]-CN49)*1200)&gt;0,(Input_Raw[[#This Row],[33 kV_Wind_F3_Export_Reading]]-CN49)*1200,0)</f>
        <v>58800</v>
      </c>
      <c r="CW50" s="105">
        <f>IF(((Input_Raw[[#This Row],[33 kV_Wind_F3_Import_Reading]]-CO49)*1200)&gt;0,(Input_Raw[[#This Row],[33 kV_Wind_F3_Import_Reading]]-CO49)*1200,0)</f>
        <v>1200</v>
      </c>
      <c r="CX50" s="105">
        <f>IF(((Input_Raw[[#This Row],[33 kV_Wind_F4_Export Reading]]-CP49)*1200)&gt;0,(Input_Raw[[#This Row],[33 kV_Wind_F4_Export Reading]]-CP49)*1200,0)</f>
        <v>72000</v>
      </c>
      <c r="CY50" s="105">
        <f>IF(((Input_Raw[[#This Row],[33 kV_Wind_F4_Import Reading]]-CQ49)*1200)&gt;0,(Input_Raw[[#This Row],[33 kV_Wind_F4_Import Reading]]-CQ49)*1200,0)</f>
        <v>1200</v>
      </c>
      <c r="CZ50" s="105">
        <f>Input_Raw[[#This Row],[33 kV_F1_Total_Export (KWh)]]+Input_Raw[[#This Row],[33 kV_F2_Total_Export (KWh)2]]+Input_Raw[[#This Row],[33 kV_Wind_F3_Export (KWh)]]+Input_Raw[[#This Row],[33 kV_Wind_F4_Export (KWh)]]</f>
        <v>201600</v>
      </c>
      <c r="DA50" s="105">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16">
        <v>0</v>
      </c>
      <c r="DD50" s="116">
        <v>0</v>
      </c>
      <c r="DE50" s="118">
        <v>205.55</v>
      </c>
      <c r="DF50" s="115"/>
      <c r="DG50" s="117">
        <v>78</v>
      </c>
      <c r="DH50" s="184"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105">
        <f>IF(((Input_Raw[[#This Row],[33 kV_Wind_F1_Export reading]]-CJ50)*1200)&gt;0,(Input_Raw[[#This Row],[33 kV_Wind_F1_Export reading]]-CJ50)*1200,0)</f>
        <v>25200</v>
      </c>
      <c r="CS51" s="105">
        <f>IF(((Input_Raw[[#This Row],[33 kV_Wind_F1_Import reading]]-CK50)*1200)&gt;0,(Input_Raw[[#This Row],[33 kV_Wind_F1_Import reading]]-CK50)*1200,0)</f>
        <v>1200</v>
      </c>
      <c r="CT51" s="105">
        <f>IF(((Input_Raw[[#This Row],[33 kV_Wind_F2_Export_reading]]-CL50)*1200)&gt;0,(Input_Raw[[#This Row],[33 kV_Wind_F2_Export_reading]]-CL50)*1200,0)</f>
        <v>22800</v>
      </c>
      <c r="CU51" s="105">
        <f>IF(((Input_Raw[[#This Row],[33 kV_Wind_F2_Import_reading]]-CM50)*1200)&gt;0,(Input_Raw[[#This Row],[33 kV_Wind_F2_Import_reading]]-CM50)*1200,0)</f>
        <v>1200</v>
      </c>
      <c r="CV51" s="105">
        <f>IF(((Input_Raw[[#This Row],[33 kV_Wind_F3_Export_Reading]]-CN50)*1200)&gt;0,(Input_Raw[[#This Row],[33 kV_Wind_F3_Export_Reading]]-CN50)*1200,0)</f>
        <v>42000</v>
      </c>
      <c r="CW51" s="105">
        <f>IF(((Input_Raw[[#This Row],[33 kV_Wind_F3_Import_Reading]]-CO50)*1200)&gt;0,(Input_Raw[[#This Row],[33 kV_Wind_F3_Import_Reading]]-CO50)*1200,0)</f>
        <v>1200</v>
      </c>
      <c r="CX51" s="105">
        <f>IF(((Input_Raw[[#This Row],[33 kV_Wind_F4_Export Reading]]-CP50)*1200)&gt;0,(Input_Raw[[#This Row],[33 kV_Wind_F4_Export Reading]]-CP50)*1200,0)</f>
        <v>45600</v>
      </c>
      <c r="CY51" s="105">
        <f>IF(((Input_Raw[[#This Row],[33 kV_Wind_F4_Import Reading]]-CQ50)*1200)&gt;0,(Input_Raw[[#This Row],[33 kV_Wind_F4_Import Reading]]-CQ50)*1200,0)</f>
        <v>1200</v>
      </c>
      <c r="CZ51" s="105">
        <f>Input_Raw[[#This Row],[33 kV_F1_Total_Export (KWh)]]+Input_Raw[[#This Row],[33 kV_F2_Total_Export (KWh)2]]+Input_Raw[[#This Row],[33 kV_Wind_F3_Export (KWh)]]+Input_Raw[[#This Row],[33 kV_Wind_F4_Export (KWh)]]</f>
        <v>135600</v>
      </c>
      <c r="DA51" s="105">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16">
        <v>96</v>
      </c>
      <c r="DD51" s="116">
        <v>34850</v>
      </c>
      <c r="DE51" s="118">
        <v>139.22999999999999</v>
      </c>
      <c r="DF51" s="115"/>
      <c r="DG51" s="117">
        <v>78</v>
      </c>
      <c r="DH51" s="184"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105">
        <f>IF(((Input_Raw[[#This Row],[33 kV_Wind_F1_Export reading]]-CJ51)*1200)&gt;0,(Input_Raw[[#This Row],[33 kV_Wind_F1_Export reading]]-CJ51)*1200,0)</f>
        <v>38400</v>
      </c>
      <c r="CS52" s="105">
        <f>IF(((Input_Raw[[#This Row],[33 kV_Wind_F1_Import reading]]-CK51)*1200)&gt;0,(Input_Raw[[#This Row],[33 kV_Wind_F1_Import reading]]-CK51)*1200,0)</f>
        <v>0</v>
      </c>
      <c r="CT52" s="105">
        <f>IF(((Input_Raw[[#This Row],[33 kV_Wind_F2_Export_reading]]-CL51)*1200)&gt;0,(Input_Raw[[#This Row],[33 kV_Wind_F2_Export_reading]]-CL51)*1200,0)</f>
        <v>39600</v>
      </c>
      <c r="CU52" s="105">
        <f>IF(((Input_Raw[[#This Row],[33 kV_Wind_F2_Import_reading]]-CM51)*1200)&gt;0,(Input_Raw[[#This Row],[33 kV_Wind_F2_Import_reading]]-CM51)*1200,0)</f>
        <v>0</v>
      </c>
      <c r="CV52" s="105">
        <f>IF(((Input_Raw[[#This Row],[33 kV_Wind_F3_Export_Reading]]-CN51)*1200)&gt;0,(Input_Raw[[#This Row],[33 kV_Wind_F3_Export_Reading]]-CN51)*1200,0)</f>
        <v>56400</v>
      </c>
      <c r="CW52" s="105">
        <f>IF(((Input_Raw[[#This Row],[33 kV_Wind_F3_Import_Reading]]-CO51)*1200)&gt;0,(Input_Raw[[#This Row],[33 kV_Wind_F3_Import_Reading]]-CO51)*1200,0)</f>
        <v>1200</v>
      </c>
      <c r="CX52" s="105">
        <f>IF(((Input_Raw[[#This Row],[33 kV_Wind_F4_Export Reading]]-CP51)*1200)&gt;0,(Input_Raw[[#This Row],[33 kV_Wind_F4_Export Reading]]-CP51)*1200,0)</f>
        <v>57600</v>
      </c>
      <c r="CY52" s="105">
        <f>IF(((Input_Raw[[#This Row],[33 kV_Wind_F4_Import Reading]]-CQ51)*1200)&gt;0,(Input_Raw[[#This Row],[33 kV_Wind_F4_Import Reading]]-CQ51)*1200,0)</f>
        <v>0</v>
      </c>
      <c r="CZ52" s="105">
        <f>Input_Raw[[#This Row],[33 kV_F1_Total_Export (KWh)]]+Input_Raw[[#This Row],[33 kV_F2_Total_Export (KWh)2]]+Input_Raw[[#This Row],[33 kV_Wind_F3_Export (KWh)]]+Input_Raw[[#This Row],[33 kV_Wind_F4_Export (KWh)]]</f>
        <v>192000</v>
      </c>
      <c r="DA52" s="105">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16">
        <v>96</v>
      </c>
      <c r="DD52" s="116">
        <v>708</v>
      </c>
      <c r="DE52" s="118">
        <v>194.66</v>
      </c>
      <c r="DF52" s="115"/>
      <c r="DG52" s="117">
        <v>78</v>
      </c>
      <c r="DH52" s="184"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105">
        <f>IF(((Input_Raw[[#This Row],[33 kV_Wind_F1_Export reading]]-CJ52)*1200)&gt;0,(Input_Raw[[#This Row],[33 kV_Wind_F1_Export reading]]-CJ52)*1200,0)</f>
        <v>69600</v>
      </c>
      <c r="CS53" s="105">
        <f>IF(((Input_Raw[[#This Row],[33 kV_Wind_F1_Import reading]]-CK52)*1200)&gt;0,(Input_Raw[[#This Row],[33 kV_Wind_F1_Import reading]]-CK52)*1200,0)</f>
        <v>0</v>
      </c>
      <c r="CT53" s="105">
        <f>IF(((Input_Raw[[#This Row],[33 kV_Wind_F2_Export_reading]]-CL52)*1200)&gt;0,(Input_Raw[[#This Row],[33 kV_Wind_F2_Export_reading]]-CL52)*1200,0)</f>
        <v>70800</v>
      </c>
      <c r="CU53" s="105">
        <f>IF(((Input_Raw[[#This Row],[33 kV_Wind_F2_Import_reading]]-CM52)*1200)&gt;0,(Input_Raw[[#This Row],[33 kV_Wind_F2_Import_reading]]-CM52)*1200,0)</f>
        <v>0</v>
      </c>
      <c r="CV53" s="105">
        <f>IF(((Input_Raw[[#This Row],[33 kV_Wind_F3_Export_Reading]]-CN52)*1200)&gt;0,(Input_Raw[[#This Row],[33 kV_Wind_F3_Export_Reading]]-CN52)*1200,0)</f>
        <v>90000</v>
      </c>
      <c r="CW53" s="105">
        <f>IF(((Input_Raw[[#This Row],[33 kV_Wind_F3_Import_Reading]]-CO52)*1200)&gt;0,(Input_Raw[[#This Row],[33 kV_Wind_F3_Import_Reading]]-CO52)*1200,0)</f>
        <v>0</v>
      </c>
      <c r="CX53" s="105">
        <f>IF(((Input_Raw[[#This Row],[33 kV_Wind_F4_Export Reading]]-CP52)*1200)&gt;0,(Input_Raw[[#This Row],[33 kV_Wind_F4_Export Reading]]-CP52)*1200,0)</f>
        <v>87600</v>
      </c>
      <c r="CY53" s="105">
        <f>IF(((Input_Raw[[#This Row],[33 kV_Wind_F4_Import Reading]]-CQ52)*1200)&gt;0,(Input_Raw[[#This Row],[33 kV_Wind_F4_Import Reading]]-CQ52)*1200,0)</f>
        <v>0</v>
      </c>
      <c r="CZ53" s="105">
        <f>Input_Raw[[#This Row],[33 kV_F1_Total_Export (KWh)]]+Input_Raw[[#This Row],[33 kV_F2_Total_Export (KWh)2]]+Input_Raw[[#This Row],[33 kV_Wind_F3_Export (KWh)]]+Input_Raw[[#This Row],[33 kV_Wind_F4_Export (KWh)]]</f>
        <v>318000</v>
      </c>
      <c r="DA53" s="105">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16">
        <v>96</v>
      </c>
      <c r="DD53" s="116">
        <v>1873</v>
      </c>
      <c r="DE53" s="118">
        <v>321.52</v>
      </c>
      <c r="DF53" s="115"/>
      <c r="DG53" s="117">
        <v>78</v>
      </c>
      <c r="DH53" s="184"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105">
        <f>IF(((Input_Raw[[#This Row],[33 kV_Wind_F1_Export reading]]-CJ53)*1200)&gt;0,(Input_Raw[[#This Row],[33 kV_Wind_F1_Export reading]]-CJ53)*1200,0)</f>
        <v>33600</v>
      </c>
      <c r="CS54" s="105">
        <f>IF(((Input_Raw[[#This Row],[33 kV_Wind_F1_Import reading]]-CK53)*1200)&gt;0,(Input_Raw[[#This Row],[33 kV_Wind_F1_Import reading]]-CK53)*1200,0)</f>
        <v>1200</v>
      </c>
      <c r="CT54" s="105">
        <f>IF(((Input_Raw[[#This Row],[33 kV_Wind_F2_Export_reading]]-CL53)*1200)&gt;0,(Input_Raw[[#This Row],[33 kV_Wind_F2_Export_reading]]-CL53)*1200,0)</f>
        <v>32400</v>
      </c>
      <c r="CU54" s="105">
        <f>IF(((Input_Raw[[#This Row],[33 kV_Wind_F2_Import_reading]]-CM53)*1200)&gt;0,(Input_Raw[[#This Row],[33 kV_Wind_F2_Import_reading]]-CM53)*1200,0)</f>
        <v>0</v>
      </c>
      <c r="CV54" s="105">
        <f>IF(((Input_Raw[[#This Row],[33 kV_Wind_F3_Export_Reading]]-CN53)*1200)&gt;0,(Input_Raw[[#This Row],[33 kV_Wind_F3_Export_Reading]]-CN53)*1200,0)</f>
        <v>49200</v>
      </c>
      <c r="CW54" s="105">
        <f>IF(((Input_Raw[[#This Row],[33 kV_Wind_F3_Import_Reading]]-CO53)*1200)&gt;0,(Input_Raw[[#This Row],[33 kV_Wind_F3_Import_Reading]]-CO53)*1200,0)</f>
        <v>0</v>
      </c>
      <c r="CX54" s="105">
        <f>IF(((Input_Raw[[#This Row],[33 kV_Wind_F4_Export Reading]]-CP53)*1200)&gt;0,(Input_Raw[[#This Row],[33 kV_Wind_F4_Export Reading]]-CP53)*1200,0)</f>
        <v>58800</v>
      </c>
      <c r="CY54" s="105">
        <f>IF(((Input_Raw[[#This Row],[33 kV_Wind_F4_Import Reading]]-CQ53)*1200)&gt;0,(Input_Raw[[#This Row],[33 kV_Wind_F4_Import Reading]]-CQ53)*1200,0)</f>
        <v>1200</v>
      </c>
      <c r="CZ54" s="105">
        <f>Input_Raw[[#This Row],[33 kV_F1_Total_Export (KWh)]]+Input_Raw[[#This Row],[33 kV_F2_Total_Export (KWh)2]]+Input_Raw[[#This Row],[33 kV_Wind_F3_Export (KWh)]]+Input_Raw[[#This Row],[33 kV_Wind_F4_Export (KWh)]]</f>
        <v>174000</v>
      </c>
      <c r="DA54" s="105">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16">
        <v>96</v>
      </c>
      <c r="DD54" s="116">
        <v>15134</v>
      </c>
      <c r="DE54" s="118">
        <v>176.98</v>
      </c>
      <c r="DF54" s="115"/>
      <c r="DG54" s="117">
        <v>78</v>
      </c>
      <c r="DH54" s="184"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105">
        <f>IF(((Input_Raw[[#This Row],[33 kV_Wind_F1_Export reading]]-CJ54)*1200)&gt;0,(Input_Raw[[#This Row],[33 kV_Wind_F1_Export reading]]-CJ54)*1200,0)</f>
        <v>28800</v>
      </c>
      <c r="CS55" s="105">
        <f>IF(((Input_Raw[[#This Row],[33 kV_Wind_F1_Import reading]]-CK54)*1200)&gt;0,(Input_Raw[[#This Row],[33 kV_Wind_F1_Import reading]]-CK54)*1200,0)</f>
        <v>0</v>
      </c>
      <c r="CT55" s="105">
        <f>IF(((Input_Raw[[#This Row],[33 kV_Wind_F2_Export_reading]]-CL54)*1200)&gt;0,(Input_Raw[[#This Row],[33 kV_Wind_F2_Export_reading]]-CL54)*1200,0)</f>
        <v>27600</v>
      </c>
      <c r="CU55" s="105">
        <f>IF(((Input_Raw[[#This Row],[33 kV_Wind_F2_Import_reading]]-CM54)*1200)&gt;0,(Input_Raw[[#This Row],[33 kV_Wind_F2_Import_reading]]-CM54)*1200,0)</f>
        <v>1200</v>
      </c>
      <c r="CV55" s="105">
        <f>IF(((Input_Raw[[#This Row],[33 kV_Wind_F3_Export_Reading]]-CN54)*1200)&gt;0,(Input_Raw[[#This Row],[33 kV_Wind_F3_Export_Reading]]-CN54)*1200,0)</f>
        <v>31200</v>
      </c>
      <c r="CW55" s="105">
        <f>IF(((Input_Raw[[#This Row],[33 kV_Wind_F3_Import_Reading]]-CO54)*1200)&gt;0,(Input_Raw[[#This Row],[33 kV_Wind_F3_Import_Reading]]-CO54)*1200,0)</f>
        <v>1200</v>
      </c>
      <c r="CX55" s="105">
        <f>IF(((Input_Raw[[#This Row],[33 kV_Wind_F4_Export Reading]]-CP54)*1200)&gt;0,(Input_Raw[[#This Row],[33 kV_Wind_F4_Export Reading]]-CP54)*1200,0)</f>
        <v>39600</v>
      </c>
      <c r="CY55" s="105">
        <f>IF(((Input_Raw[[#This Row],[33 kV_Wind_F4_Import Reading]]-CQ54)*1200)&gt;0,(Input_Raw[[#This Row],[33 kV_Wind_F4_Import Reading]]-CQ54)*1200,0)</f>
        <v>0</v>
      </c>
      <c r="CZ55" s="105">
        <f>Input_Raw[[#This Row],[33 kV_F1_Total_Export (KWh)]]+Input_Raw[[#This Row],[33 kV_F2_Total_Export (KWh)2]]+Input_Raw[[#This Row],[33 kV_Wind_F3_Export (KWh)]]+Input_Raw[[#This Row],[33 kV_Wind_F4_Export (KWh)]]</f>
        <v>127200</v>
      </c>
      <c r="DA55" s="105">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16">
        <v>96</v>
      </c>
      <c r="DD55" s="116">
        <v>55</v>
      </c>
      <c r="DE55" s="118">
        <v>131.28</v>
      </c>
      <c r="DF55" s="115"/>
      <c r="DG55" s="117">
        <v>78</v>
      </c>
      <c r="DH55" s="184"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105">
        <f>IF(((Input_Raw[[#This Row],[33 kV_Wind_F1_Export reading]]-CJ55)*1200)&gt;0,(Input_Raw[[#This Row],[33 kV_Wind_F1_Export reading]]-CJ55)*1200,0)</f>
        <v>39600</v>
      </c>
      <c r="CS56" s="105">
        <f>IF(((Input_Raw[[#This Row],[33 kV_Wind_F1_Import reading]]-CK55)*1200)&gt;0,(Input_Raw[[#This Row],[33 kV_Wind_F1_Import reading]]-CK55)*1200,0)</f>
        <v>1200</v>
      </c>
      <c r="CT56" s="105">
        <f>IF(((Input_Raw[[#This Row],[33 kV_Wind_F2_Export_reading]]-CL55)*1200)&gt;0,(Input_Raw[[#This Row],[33 kV_Wind_F2_Export_reading]]-CL55)*1200,0)</f>
        <v>30000</v>
      </c>
      <c r="CU56" s="105">
        <f>IF(((Input_Raw[[#This Row],[33 kV_Wind_F2_Import_reading]]-CM55)*1200)&gt;0,(Input_Raw[[#This Row],[33 kV_Wind_F2_Import_reading]]-CM55)*1200,0)</f>
        <v>1200</v>
      </c>
      <c r="CV56" s="105">
        <f>IF(((Input_Raw[[#This Row],[33 kV_Wind_F3_Export_Reading]]-CN55)*1200)&gt;0,(Input_Raw[[#This Row],[33 kV_Wind_F3_Export_Reading]]-CN55)*1200,0)</f>
        <v>33600</v>
      </c>
      <c r="CW56" s="105">
        <f>IF(((Input_Raw[[#This Row],[33 kV_Wind_F3_Import_Reading]]-CO55)*1200)&gt;0,(Input_Raw[[#This Row],[33 kV_Wind_F3_Import_Reading]]-CO55)*1200,0)</f>
        <v>0</v>
      </c>
      <c r="CX56" s="105">
        <f>IF(((Input_Raw[[#This Row],[33 kV_Wind_F4_Export Reading]]-CP55)*1200)&gt;0,(Input_Raw[[#This Row],[33 kV_Wind_F4_Export Reading]]-CP55)*1200,0)</f>
        <v>34800</v>
      </c>
      <c r="CY56" s="105">
        <f>IF(((Input_Raw[[#This Row],[33 kV_Wind_F4_Import Reading]]-CQ55)*1200)&gt;0,(Input_Raw[[#This Row],[33 kV_Wind_F4_Import Reading]]-CQ55)*1200,0)</f>
        <v>1200</v>
      </c>
      <c r="CZ56" s="105">
        <f>Input_Raw[[#This Row],[33 kV_F1_Total_Export (KWh)]]+Input_Raw[[#This Row],[33 kV_F2_Total_Export (KWh)2]]+Input_Raw[[#This Row],[33 kV_Wind_F3_Export (KWh)]]+Input_Raw[[#This Row],[33 kV_Wind_F4_Export (KWh)]]</f>
        <v>138000</v>
      </c>
      <c r="DA56" s="105">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16">
        <v>96</v>
      </c>
      <c r="DD56" s="116">
        <v>5662</v>
      </c>
      <c r="DE56" s="118">
        <v>141.69</v>
      </c>
      <c r="DF56" s="115"/>
      <c r="DG56" s="117">
        <v>78</v>
      </c>
      <c r="DH56" s="184"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105">
        <f>IF(((Input_Raw[[#This Row],[33 kV_Wind_F1_Export reading]]-CJ56)*1200)&gt;0,(Input_Raw[[#This Row],[33 kV_Wind_F1_Export reading]]-CJ56)*1200,0)</f>
        <v>36000</v>
      </c>
      <c r="CS57" s="105">
        <f>IF(((Input_Raw[[#This Row],[33 kV_Wind_F1_Import reading]]-CK56)*1200)&gt;0,(Input_Raw[[#This Row],[33 kV_Wind_F1_Import reading]]-CK56)*1200,0)</f>
        <v>1200</v>
      </c>
      <c r="CT57" s="105">
        <f>IF(((Input_Raw[[#This Row],[33 kV_Wind_F2_Export_reading]]-CL56)*1200)&gt;0,(Input_Raw[[#This Row],[33 kV_Wind_F2_Export_reading]]-CL56)*1200,0)</f>
        <v>40800</v>
      </c>
      <c r="CU57" s="105">
        <f>IF(((Input_Raw[[#This Row],[33 kV_Wind_F2_Import_reading]]-CM56)*1200)&gt;0,(Input_Raw[[#This Row],[33 kV_Wind_F2_Import_reading]]-CM56)*1200,0)</f>
        <v>0</v>
      </c>
      <c r="CV57" s="105">
        <f>IF(((Input_Raw[[#This Row],[33 kV_Wind_F3_Export_Reading]]-CN56)*1200)&gt;0,(Input_Raw[[#This Row],[33 kV_Wind_F3_Export_Reading]]-CN56)*1200,0)</f>
        <v>48000</v>
      </c>
      <c r="CW57" s="105">
        <f>IF(((Input_Raw[[#This Row],[33 kV_Wind_F3_Import_Reading]]-CO56)*1200)&gt;0,(Input_Raw[[#This Row],[33 kV_Wind_F3_Import_Reading]]-CO56)*1200,0)</f>
        <v>1200</v>
      </c>
      <c r="CX57" s="105">
        <f>IF(((Input_Raw[[#This Row],[33 kV_Wind_F4_Export Reading]]-CP56)*1200)&gt;0,(Input_Raw[[#This Row],[33 kV_Wind_F4_Export Reading]]-CP56)*1200,0)</f>
        <v>51600</v>
      </c>
      <c r="CY57" s="105">
        <f>IF(((Input_Raw[[#This Row],[33 kV_Wind_F4_Import Reading]]-CQ56)*1200)&gt;0,(Input_Raw[[#This Row],[33 kV_Wind_F4_Import Reading]]-CQ56)*1200,0)</f>
        <v>1200</v>
      </c>
      <c r="CZ57" s="105">
        <f>Input_Raw[[#This Row],[33 kV_F1_Total_Export (KWh)]]+Input_Raw[[#This Row],[33 kV_F2_Total_Export (KWh)2]]+Input_Raw[[#This Row],[33 kV_Wind_F3_Export (KWh)]]+Input_Raw[[#This Row],[33 kV_Wind_F4_Export (KWh)]]</f>
        <v>176400</v>
      </c>
      <c r="DA57" s="105">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16">
        <v>96</v>
      </c>
      <c r="DD57" s="116">
        <v>2876</v>
      </c>
      <c r="DE57" s="118">
        <v>178.47</v>
      </c>
      <c r="DF57" s="115"/>
      <c r="DG57" s="117">
        <v>78</v>
      </c>
      <c r="DH57" s="184"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105">
        <f>IF(((Input_Raw[[#This Row],[33 kV_Wind_F1_Export reading]]-CJ57)*1200)&gt;0,(Input_Raw[[#This Row],[33 kV_Wind_F1_Export reading]]-CJ57)*1200,0)</f>
        <v>44400</v>
      </c>
      <c r="CS58" s="105">
        <f>IF(((Input_Raw[[#This Row],[33 kV_Wind_F1_Import reading]]-CK57)*1200)&gt;0,(Input_Raw[[#This Row],[33 kV_Wind_F1_Import reading]]-CK57)*1200,0)</f>
        <v>1200</v>
      </c>
      <c r="CT58" s="105">
        <f>IF(((Input_Raw[[#This Row],[33 kV_Wind_F2_Export_reading]]-CL57)*1200)&gt;0,(Input_Raw[[#This Row],[33 kV_Wind_F2_Export_reading]]-CL57)*1200,0)</f>
        <v>43200</v>
      </c>
      <c r="CU58" s="105">
        <f>IF(((Input_Raw[[#This Row],[33 kV_Wind_F2_Import_reading]]-CM57)*1200)&gt;0,(Input_Raw[[#This Row],[33 kV_Wind_F2_Import_reading]]-CM57)*1200,0)</f>
        <v>1200</v>
      </c>
      <c r="CV58" s="105">
        <f>IF(((Input_Raw[[#This Row],[33 kV_Wind_F3_Export_Reading]]-CN57)*1200)&gt;0,(Input_Raw[[#This Row],[33 kV_Wind_F3_Export_Reading]]-CN57)*1200,0)</f>
        <v>49200</v>
      </c>
      <c r="CW58" s="105">
        <f>IF(((Input_Raw[[#This Row],[33 kV_Wind_F3_Import_Reading]]-CO57)*1200)&gt;0,(Input_Raw[[#This Row],[33 kV_Wind_F3_Import_Reading]]-CO57)*1200,0)</f>
        <v>1200</v>
      </c>
      <c r="CX58" s="105">
        <f>IF(((Input_Raw[[#This Row],[33 kV_Wind_F4_Export Reading]]-CP57)*1200)&gt;0,(Input_Raw[[#This Row],[33 kV_Wind_F4_Export Reading]]-CP57)*1200,0)</f>
        <v>50400</v>
      </c>
      <c r="CY58" s="105">
        <f>IF(((Input_Raw[[#This Row],[33 kV_Wind_F4_Import Reading]]-CQ57)*1200)&gt;0,(Input_Raw[[#This Row],[33 kV_Wind_F4_Import Reading]]-CQ57)*1200,0)</f>
        <v>1200</v>
      </c>
      <c r="CZ58" s="105">
        <f>Input_Raw[[#This Row],[33 kV_F1_Total_Export (KWh)]]+Input_Raw[[#This Row],[33 kV_F2_Total_Export (KWh)2]]+Input_Raw[[#This Row],[33 kV_Wind_F3_Export (KWh)]]+Input_Raw[[#This Row],[33 kV_Wind_F4_Export (KWh)]]</f>
        <v>187200</v>
      </c>
      <c r="DA58" s="105">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16">
        <v>96</v>
      </c>
      <c r="DD58" s="116">
        <v>9688</v>
      </c>
      <c r="DE58" s="118">
        <v>191.73</v>
      </c>
      <c r="DF58" s="115"/>
      <c r="DG58" s="117">
        <v>78</v>
      </c>
      <c r="DH58" s="184"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105">
        <f>IF(((Input_Raw[[#This Row],[33 kV_Wind_F1_Export reading]]-CJ58)*1200)&gt;0,(Input_Raw[[#This Row],[33 kV_Wind_F1_Export reading]]-CJ58)*1200,0)</f>
        <v>58800</v>
      </c>
      <c r="CS59" s="105">
        <f>IF(((Input_Raw[[#This Row],[33 kV_Wind_F1_Import reading]]-CK58)*1200)&gt;0,(Input_Raw[[#This Row],[33 kV_Wind_F1_Import reading]]-CK58)*1200,0)</f>
        <v>1200</v>
      </c>
      <c r="CT59" s="105">
        <f>IF(((Input_Raw[[#This Row],[33 kV_Wind_F2_Export_reading]]-CL58)*1200)&gt;0,(Input_Raw[[#This Row],[33 kV_Wind_F2_Export_reading]]-CL58)*1200,0)</f>
        <v>69600</v>
      </c>
      <c r="CU59" s="105">
        <f>IF(((Input_Raw[[#This Row],[33 kV_Wind_F2_Import_reading]]-CM58)*1200)&gt;0,(Input_Raw[[#This Row],[33 kV_Wind_F2_Import_reading]]-CM58)*1200,0)</f>
        <v>1200</v>
      </c>
      <c r="CV59" s="105">
        <f>IF(((Input_Raw[[#This Row],[33 kV_Wind_F3_Export_Reading]]-CN58)*1200)&gt;0,(Input_Raw[[#This Row],[33 kV_Wind_F3_Export_Reading]]-CN58)*1200,0)</f>
        <v>60000</v>
      </c>
      <c r="CW59" s="105">
        <f>IF(((Input_Raw[[#This Row],[33 kV_Wind_F3_Import_Reading]]-CO58)*1200)&gt;0,(Input_Raw[[#This Row],[33 kV_Wind_F3_Import_Reading]]-CO58)*1200,0)</f>
        <v>1200</v>
      </c>
      <c r="CX59" s="105">
        <f>IF(((Input_Raw[[#This Row],[33 kV_Wind_F4_Export Reading]]-CP58)*1200)&gt;0,(Input_Raw[[#This Row],[33 kV_Wind_F4_Export Reading]]-CP58)*1200,0)</f>
        <v>97200</v>
      </c>
      <c r="CY59" s="105">
        <f>IF(((Input_Raw[[#This Row],[33 kV_Wind_F4_Import Reading]]-CQ58)*1200)&gt;0,(Input_Raw[[#This Row],[33 kV_Wind_F4_Import Reading]]-CQ58)*1200,0)</f>
        <v>1200</v>
      </c>
      <c r="CZ59" s="105">
        <f>Input_Raw[[#This Row],[33 kV_F1_Total_Export (KWh)]]+Input_Raw[[#This Row],[33 kV_F2_Total_Export (KWh)2]]+Input_Raw[[#This Row],[33 kV_Wind_F3_Export (KWh)]]+Input_Raw[[#This Row],[33 kV_Wind_F4_Export (KWh)]]</f>
        <v>285600</v>
      </c>
      <c r="DA59" s="105">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16">
        <v>96</v>
      </c>
      <c r="DD59" s="116">
        <v>3218</v>
      </c>
      <c r="DE59" s="118">
        <v>286.08</v>
      </c>
      <c r="DF59" s="115"/>
      <c r="DG59" s="117">
        <v>78</v>
      </c>
      <c r="DH59" s="184"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105">
        <f>IF(((Input_Raw[[#This Row],[33 kV_Wind_F1_Export reading]]-CJ59)*1200)&gt;0,(Input_Raw[[#This Row],[33 kV_Wind_F1_Export reading]]-CJ59)*1200,0)</f>
        <v>14400</v>
      </c>
      <c r="CS60" s="105">
        <f>IF(((Input_Raw[[#This Row],[33 kV_Wind_F1_Import reading]]-CK59)*1200)&gt;0,(Input_Raw[[#This Row],[33 kV_Wind_F1_Import reading]]-CK59)*1200,0)</f>
        <v>1200</v>
      </c>
      <c r="CT60" s="105">
        <f>IF(((Input_Raw[[#This Row],[33 kV_Wind_F2_Export_reading]]-CL59)*1200)&gt;0,(Input_Raw[[#This Row],[33 kV_Wind_F2_Export_reading]]-CL59)*1200,0)</f>
        <v>15600</v>
      </c>
      <c r="CU60" s="105">
        <f>IF(((Input_Raw[[#This Row],[33 kV_Wind_F2_Import_reading]]-CM59)*1200)&gt;0,(Input_Raw[[#This Row],[33 kV_Wind_F2_Import_reading]]-CM59)*1200,0)</f>
        <v>1200</v>
      </c>
      <c r="CV60" s="105">
        <f>IF(((Input_Raw[[#This Row],[33 kV_Wind_F3_Export_Reading]]-CN59)*1200)&gt;0,(Input_Raw[[#This Row],[33 kV_Wind_F3_Export_Reading]]-CN59)*1200,0)</f>
        <v>24000</v>
      </c>
      <c r="CW60" s="105">
        <f>IF(((Input_Raw[[#This Row],[33 kV_Wind_F3_Import_Reading]]-CO59)*1200)&gt;0,(Input_Raw[[#This Row],[33 kV_Wind_F3_Import_Reading]]-CO59)*1200,0)</f>
        <v>1200</v>
      </c>
      <c r="CX60" s="105">
        <f>IF(((Input_Raw[[#This Row],[33 kV_Wind_F4_Export Reading]]-CP59)*1200)&gt;0,(Input_Raw[[#This Row],[33 kV_Wind_F4_Export Reading]]-CP59)*1200,0)</f>
        <v>30000</v>
      </c>
      <c r="CY60" s="105">
        <f>IF(((Input_Raw[[#This Row],[33 kV_Wind_F4_Import Reading]]-CQ59)*1200)&gt;0,(Input_Raw[[#This Row],[33 kV_Wind_F4_Import Reading]]-CQ59)*1200,0)</f>
        <v>1200</v>
      </c>
      <c r="CZ60" s="105">
        <f>Input_Raw[[#This Row],[33 kV_F1_Total_Export (KWh)]]+Input_Raw[[#This Row],[33 kV_F2_Total_Export (KWh)2]]+Input_Raw[[#This Row],[33 kV_Wind_F3_Export (KWh)]]+Input_Raw[[#This Row],[33 kV_Wind_F4_Export (KWh)]]</f>
        <v>84000</v>
      </c>
      <c r="DA60" s="105">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16">
        <v>96</v>
      </c>
      <c r="DD60" s="116">
        <v>45073</v>
      </c>
      <c r="DE60" s="118">
        <v>87.96</v>
      </c>
      <c r="DF60" s="115"/>
      <c r="DG60" s="117">
        <v>78</v>
      </c>
      <c r="DH60" s="184"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105">
        <f>IF(((Input_Raw[[#This Row],[33 kV_Wind_F1_Export reading]]-CJ60)*1200)&gt;0,(Input_Raw[[#This Row],[33 kV_Wind_F1_Export reading]]-CJ60)*1200,0)</f>
        <v>62400</v>
      </c>
      <c r="CS61" s="105">
        <f>IF(((Input_Raw[[#This Row],[33 kV_Wind_F1_Import reading]]-CK60)*1200)&gt;0,(Input_Raw[[#This Row],[33 kV_Wind_F1_Import reading]]-CK60)*1200,0)</f>
        <v>1200</v>
      </c>
      <c r="CT61" s="105">
        <f>IF(((Input_Raw[[#This Row],[33 kV_Wind_F2_Export_reading]]-CL60)*1200)&gt;0,(Input_Raw[[#This Row],[33 kV_Wind_F2_Export_reading]]-CL60)*1200,0)</f>
        <v>61200</v>
      </c>
      <c r="CU61" s="105">
        <f>IF(((Input_Raw[[#This Row],[33 kV_Wind_F2_Import_reading]]-CM60)*1200)&gt;0,(Input_Raw[[#This Row],[33 kV_Wind_F2_Import_reading]]-CM60)*1200,0)</f>
        <v>1200</v>
      </c>
      <c r="CV61" s="105">
        <f>IF(((Input_Raw[[#This Row],[33 kV_Wind_F3_Export_Reading]]-CN60)*1200)&gt;0,(Input_Raw[[#This Row],[33 kV_Wind_F3_Export_Reading]]-CN60)*1200,0)</f>
        <v>62400</v>
      </c>
      <c r="CW61" s="105">
        <f>IF(((Input_Raw[[#This Row],[33 kV_Wind_F3_Import_Reading]]-CO60)*1200)&gt;0,(Input_Raw[[#This Row],[33 kV_Wind_F3_Import_Reading]]-CO60)*1200,0)</f>
        <v>1200</v>
      </c>
      <c r="CX61" s="105">
        <f>IF(((Input_Raw[[#This Row],[33 kV_Wind_F4_Export Reading]]-CP60)*1200)&gt;0,(Input_Raw[[#This Row],[33 kV_Wind_F4_Export Reading]]-CP60)*1200,0)</f>
        <v>72000</v>
      </c>
      <c r="CY61" s="105">
        <f>IF(((Input_Raw[[#This Row],[33 kV_Wind_F4_Import Reading]]-CQ60)*1200)&gt;0,(Input_Raw[[#This Row],[33 kV_Wind_F4_Import Reading]]-CQ60)*1200,0)</f>
        <v>0</v>
      </c>
      <c r="CZ61" s="105">
        <f>Input_Raw[[#This Row],[33 kV_F1_Total_Export (KWh)]]+Input_Raw[[#This Row],[33 kV_F2_Total_Export (KWh)2]]+Input_Raw[[#This Row],[33 kV_Wind_F3_Export (KWh)]]+Input_Raw[[#This Row],[33 kV_Wind_F4_Export (KWh)]]</f>
        <v>258000</v>
      </c>
      <c r="DA61" s="105">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16">
        <v>96</v>
      </c>
      <c r="DD61" s="116">
        <v>54003</v>
      </c>
      <c r="DE61" s="118">
        <v>261.72000000000003</v>
      </c>
      <c r="DF61" s="115"/>
      <c r="DG61" s="117">
        <v>78</v>
      </c>
      <c r="DH61" s="184"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105">
        <f>IF(((Input_Raw[[#This Row],[33 kV_Wind_F1_Export reading]]-CJ61)*1200)&gt;0,(Input_Raw[[#This Row],[33 kV_Wind_F1_Export reading]]-CJ61)*1200,0)</f>
        <v>57600</v>
      </c>
      <c r="CS62" s="105">
        <f>IF(((Input_Raw[[#This Row],[33 kV_Wind_F1_Import reading]]-CK61)*1200)&gt;0,(Input_Raw[[#This Row],[33 kV_Wind_F1_Import reading]]-CK61)*1200,0)</f>
        <v>0</v>
      </c>
      <c r="CT62" s="105">
        <f>IF(((Input_Raw[[#This Row],[33 kV_Wind_F2_Export_reading]]-CL61)*1200)&gt;0,(Input_Raw[[#This Row],[33 kV_Wind_F2_Export_reading]]-CL61)*1200,0)</f>
        <v>43200</v>
      </c>
      <c r="CU62" s="105">
        <f>IF(((Input_Raw[[#This Row],[33 kV_Wind_F2_Import_reading]]-CM61)*1200)&gt;0,(Input_Raw[[#This Row],[33 kV_Wind_F2_Import_reading]]-CM61)*1200,0)</f>
        <v>0</v>
      </c>
      <c r="CV62" s="105">
        <f>IF(((Input_Raw[[#This Row],[33 kV_Wind_F3_Export_Reading]]-CN61)*1200)&gt;0,(Input_Raw[[#This Row],[33 kV_Wind_F3_Export_Reading]]-CN61)*1200,0)</f>
        <v>62400</v>
      </c>
      <c r="CW62" s="105">
        <f>IF(((Input_Raw[[#This Row],[33 kV_Wind_F3_Import_Reading]]-CO61)*1200)&gt;0,(Input_Raw[[#This Row],[33 kV_Wind_F3_Import_Reading]]-CO61)*1200,0)</f>
        <v>0</v>
      </c>
      <c r="CX62" s="105">
        <f>IF(((Input_Raw[[#This Row],[33 kV_Wind_F4_Export Reading]]-CP61)*1200)&gt;0,(Input_Raw[[#This Row],[33 kV_Wind_F4_Export Reading]]-CP61)*1200,0)</f>
        <v>68400</v>
      </c>
      <c r="CY62" s="105">
        <f>IF(((Input_Raw[[#This Row],[33 kV_Wind_F4_Import Reading]]-CQ61)*1200)&gt;0,(Input_Raw[[#This Row],[33 kV_Wind_F4_Import Reading]]-CQ61)*1200,0)</f>
        <v>1200</v>
      </c>
      <c r="CZ62" s="105">
        <f>Input_Raw[[#This Row],[33 kV_F1_Total_Export (KWh)]]+Input_Raw[[#This Row],[33 kV_F2_Total_Export (KWh)2]]+Input_Raw[[#This Row],[33 kV_Wind_F3_Export (KWh)]]+Input_Raw[[#This Row],[33 kV_Wind_F4_Export (KWh)]]</f>
        <v>231600</v>
      </c>
      <c r="DA62" s="105">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16">
        <v>96</v>
      </c>
      <c r="DD62" s="116">
        <v>64981</v>
      </c>
      <c r="DE62" s="118">
        <v>236.44</v>
      </c>
      <c r="DF62" s="115"/>
      <c r="DG62" s="117">
        <v>78</v>
      </c>
      <c r="DH62" s="184"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105">
        <f>IF(((Input_Raw[[#This Row],[33 kV_Wind_F1_Export reading]]-CJ62)*1200)&gt;0,(Input_Raw[[#This Row],[33 kV_Wind_F1_Export reading]]-CJ62)*1200,0)</f>
        <v>34800</v>
      </c>
      <c r="CS63" s="105">
        <f>IF(((Input_Raw[[#This Row],[33 kV_Wind_F1_Import reading]]-CK62)*1200)&gt;0,(Input_Raw[[#This Row],[33 kV_Wind_F1_Import reading]]-CK62)*1200,0)</f>
        <v>1200</v>
      </c>
      <c r="CT63" s="105">
        <f>IF(((Input_Raw[[#This Row],[33 kV_Wind_F2_Export_reading]]-CL62)*1200)&gt;0,(Input_Raw[[#This Row],[33 kV_Wind_F2_Export_reading]]-CL62)*1200,0)</f>
        <v>27600</v>
      </c>
      <c r="CU63" s="105">
        <f>IF(((Input_Raw[[#This Row],[33 kV_Wind_F2_Import_reading]]-CM62)*1200)&gt;0,(Input_Raw[[#This Row],[33 kV_Wind_F2_Import_reading]]-CM62)*1200,0)</f>
        <v>1200</v>
      </c>
      <c r="CV63" s="105">
        <f>IF(((Input_Raw[[#This Row],[33 kV_Wind_F3_Export_Reading]]-CN62)*1200)&gt;0,(Input_Raw[[#This Row],[33 kV_Wind_F3_Export_Reading]]-CN62)*1200,0)</f>
        <v>39600</v>
      </c>
      <c r="CW63" s="105">
        <f>IF(((Input_Raw[[#This Row],[33 kV_Wind_F3_Import_Reading]]-CO62)*1200)&gt;0,(Input_Raw[[#This Row],[33 kV_Wind_F3_Import_Reading]]-CO62)*1200,0)</f>
        <v>1200</v>
      </c>
      <c r="CX63" s="105">
        <f>IF(((Input_Raw[[#This Row],[33 kV_Wind_F4_Export Reading]]-CP62)*1200)&gt;0,(Input_Raw[[#This Row],[33 kV_Wind_F4_Export Reading]]-CP62)*1200,0)</f>
        <v>36000</v>
      </c>
      <c r="CY63" s="105">
        <f>IF(((Input_Raw[[#This Row],[33 kV_Wind_F4_Import Reading]]-CQ62)*1200)&gt;0,(Input_Raw[[#This Row],[33 kV_Wind_F4_Import Reading]]-CQ62)*1200,0)</f>
        <v>0</v>
      </c>
      <c r="CZ63" s="105">
        <f>Input_Raw[[#This Row],[33 kV_F1_Total_Export (KWh)]]+Input_Raw[[#This Row],[33 kV_F2_Total_Export (KWh)2]]+Input_Raw[[#This Row],[33 kV_Wind_F3_Export (KWh)]]+Input_Raw[[#This Row],[33 kV_Wind_F4_Export (KWh)]]</f>
        <v>138000</v>
      </c>
      <c r="DA63" s="105">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16">
        <v>94</v>
      </c>
      <c r="DD63" s="116">
        <v>14022</v>
      </c>
      <c r="DE63" s="118">
        <v>140.26</v>
      </c>
      <c r="DF63" s="115"/>
      <c r="DG63" s="117">
        <v>78</v>
      </c>
      <c r="DH63" s="184"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105">
        <f>IF(((Input_Raw[[#This Row],[33 kV_Wind_F1_Export reading]]-CJ63)*1200)&gt;0,(Input_Raw[[#This Row],[33 kV_Wind_F1_Export reading]]-CJ63)*1200,0)</f>
        <v>103200</v>
      </c>
      <c r="CS64" s="105">
        <f>IF(((Input_Raw[[#This Row],[33 kV_Wind_F1_Import reading]]-CK63)*1200)&gt;0,(Input_Raw[[#This Row],[33 kV_Wind_F1_Import reading]]-CK63)*1200,0)</f>
        <v>0</v>
      </c>
      <c r="CT64" s="105">
        <f>IF(((Input_Raw[[#This Row],[33 kV_Wind_F2_Export_reading]]-CL63)*1200)&gt;0,(Input_Raw[[#This Row],[33 kV_Wind_F2_Export_reading]]-CL63)*1200,0)</f>
        <v>93600</v>
      </c>
      <c r="CU64" s="105">
        <f>IF(((Input_Raw[[#This Row],[33 kV_Wind_F2_Import_reading]]-CM63)*1200)&gt;0,(Input_Raw[[#This Row],[33 kV_Wind_F2_Import_reading]]-CM63)*1200,0)</f>
        <v>0</v>
      </c>
      <c r="CV64" s="105">
        <f>IF(((Input_Raw[[#This Row],[33 kV_Wind_F3_Export_Reading]]-CN63)*1200)&gt;0,(Input_Raw[[#This Row],[33 kV_Wind_F3_Export_Reading]]-CN63)*1200,0)</f>
        <v>92400</v>
      </c>
      <c r="CW64" s="105">
        <f>IF(((Input_Raw[[#This Row],[33 kV_Wind_F3_Import_Reading]]-CO63)*1200)&gt;0,(Input_Raw[[#This Row],[33 kV_Wind_F3_Import_Reading]]-CO63)*1200,0)</f>
        <v>0</v>
      </c>
      <c r="CX64" s="105">
        <f>IF(((Input_Raw[[#This Row],[33 kV_Wind_F4_Export Reading]]-CP63)*1200)&gt;0,(Input_Raw[[#This Row],[33 kV_Wind_F4_Export Reading]]-CP63)*1200,0)</f>
        <v>145200</v>
      </c>
      <c r="CY64" s="105">
        <f>IF(((Input_Raw[[#This Row],[33 kV_Wind_F4_Import Reading]]-CQ63)*1200)&gt;0,(Input_Raw[[#This Row],[33 kV_Wind_F4_Import Reading]]-CQ63)*1200,0)</f>
        <v>0</v>
      </c>
      <c r="CZ64" s="105">
        <f>Input_Raw[[#This Row],[33 kV_F1_Total_Export (KWh)]]+Input_Raw[[#This Row],[33 kV_F2_Total_Export (KWh)2]]+Input_Raw[[#This Row],[33 kV_Wind_F3_Export (KWh)]]+Input_Raw[[#This Row],[33 kV_Wind_F4_Export (KWh)]]</f>
        <v>434400</v>
      </c>
      <c r="DA64" s="105">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16">
        <v>96</v>
      </c>
      <c r="DD64" s="116">
        <v>86461</v>
      </c>
      <c r="DE64" s="118">
        <v>436.04</v>
      </c>
      <c r="DF64" s="115"/>
      <c r="DG64" s="117">
        <v>78</v>
      </c>
      <c r="DH64" s="184"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105">
        <f>IF(((Input_Raw[[#This Row],[33 kV_Wind_F1_Export reading]]-CJ64)*1200)&gt;0,(Input_Raw[[#This Row],[33 kV_Wind_F1_Export reading]]-CJ64)*1200,0)</f>
        <v>73200</v>
      </c>
      <c r="CS65" s="105">
        <f>IF(((Input_Raw[[#This Row],[33 kV_Wind_F1_Import reading]]-CK64)*1200)&gt;0,(Input_Raw[[#This Row],[33 kV_Wind_F1_Import reading]]-CK64)*1200,0)</f>
        <v>1200</v>
      </c>
      <c r="CT65" s="105">
        <f>IF(((Input_Raw[[#This Row],[33 kV_Wind_F2_Export_reading]]-CL64)*1200)&gt;0,(Input_Raw[[#This Row],[33 kV_Wind_F2_Export_reading]]-CL64)*1200,0)</f>
        <v>79200</v>
      </c>
      <c r="CU65" s="105">
        <f>IF(((Input_Raw[[#This Row],[33 kV_Wind_F2_Import_reading]]-CM64)*1200)&gt;0,(Input_Raw[[#This Row],[33 kV_Wind_F2_Import_reading]]-CM64)*1200,0)</f>
        <v>1200</v>
      </c>
      <c r="CV65" s="105">
        <f>IF(((Input_Raw[[#This Row],[33 kV_Wind_F3_Export_Reading]]-CN64)*1200)&gt;0,(Input_Raw[[#This Row],[33 kV_Wind_F3_Export_Reading]]-CN64)*1200,0)</f>
        <v>133200</v>
      </c>
      <c r="CW65" s="105">
        <f>IF(((Input_Raw[[#This Row],[33 kV_Wind_F3_Import_Reading]]-CO64)*1200)&gt;0,(Input_Raw[[#This Row],[33 kV_Wind_F3_Import_Reading]]-CO64)*1200,0)</f>
        <v>0</v>
      </c>
      <c r="CX65" s="105">
        <f>IF(((Input_Raw[[#This Row],[33 kV_Wind_F4_Export Reading]]-CP64)*1200)&gt;0,(Input_Raw[[#This Row],[33 kV_Wind_F4_Export Reading]]-CP64)*1200,0)</f>
        <v>134400</v>
      </c>
      <c r="CY65" s="105">
        <f>IF(((Input_Raw[[#This Row],[33 kV_Wind_F4_Import Reading]]-CQ64)*1200)&gt;0,(Input_Raw[[#This Row],[33 kV_Wind_F4_Import Reading]]-CQ64)*1200,0)</f>
        <v>1200</v>
      </c>
      <c r="CZ65" s="105">
        <f>Input_Raw[[#This Row],[33 kV_F1_Total_Export (KWh)]]+Input_Raw[[#This Row],[33 kV_F2_Total_Export (KWh)2]]+Input_Raw[[#This Row],[33 kV_Wind_F3_Export (KWh)]]+Input_Raw[[#This Row],[33 kV_Wind_F4_Export (KWh)]]</f>
        <v>420000</v>
      </c>
      <c r="DA65" s="105">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16">
        <v>96</v>
      </c>
      <c r="DD65" s="116">
        <v>167998</v>
      </c>
      <c r="DE65" s="118">
        <v>424.52</v>
      </c>
      <c r="DF65" s="115"/>
      <c r="DG65" s="117">
        <v>78</v>
      </c>
      <c r="DH65" s="184"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105">
        <f>IF(((Input_Raw[[#This Row],[33 kV_Wind_F1_Export reading]]-CJ65)*1200)&gt;0,(Input_Raw[[#This Row],[33 kV_Wind_F1_Export reading]]-CJ65)*1200,0)</f>
        <v>133200</v>
      </c>
      <c r="CS66" s="105">
        <f>IF(((Input_Raw[[#This Row],[33 kV_Wind_F1_Import reading]]-CK65)*1200)&gt;0,(Input_Raw[[#This Row],[33 kV_Wind_F1_Import reading]]-CK65)*1200,0)</f>
        <v>0</v>
      </c>
      <c r="CT66" s="105">
        <f>IF(((Input_Raw[[#This Row],[33 kV_Wind_F2_Export_reading]]-CL65)*1200)&gt;0,(Input_Raw[[#This Row],[33 kV_Wind_F2_Export_reading]]-CL65)*1200,0)</f>
        <v>96000</v>
      </c>
      <c r="CU66" s="105">
        <f>IF(((Input_Raw[[#This Row],[33 kV_Wind_F2_Import_reading]]-CM65)*1200)&gt;0,(Input_Raw[[#This Row],[33 kV_Wind_F2_Import_reading]]-CM65)*1200,0)</f>
        <v>0</v>
      </c>
      <c r="CV66" s="105">
        <f>IF(((Input_Raw[[#This Row],[33 kV_Wind_F3_Export_Reading]]-CN65)*1200)&gt;0,(Input_Raw[[#This Row],[33 kV_Wind_F3_Export_Reading]]-CN65)*1200,0)</f>
        <v>147600</v>
      </c>
      <c r="CW66" s="105">
        <f>IF(((Input_Raw[[#This Row],[33 kV_Wind_F3_Import_Reading]]-CO65)*1200)&gt;0,(Input_Raw[[#This Row],[33 kV_Wind_F3_Import_Reading]]-CO65)*1200,0)</f>
        <v>0</v>
      </c>
      <c r="CX66" s="105">
        <f>IF(((Input_Raw[[#This Row],[33 kV_Wind_F4_Export Reading]]-CP65)*1200)&gt;0,(Input_Raw[[#This Row],[33 kV_Wind_F4_Export Reading]]-CP65)*1200,0)</f>
        <v>154800</v>
      </c>
      <c r="CY66" s="105">
        <f>IF(((Input_Raw[[#This Row],[33 kV_Wind_F4_Import Reading]]-CQ65)*1200)&gt;0,(Input_Raw[[#This Row],[33 kV_Wind_F4_Import Reading]]-CQ65)*1200,0)</f>
        <v>0</v>
      </c>
      <c r="CZ66" s="105">
        <f>Input_Raw[[#This Row],[33 kV_F1_Total_Export (KWh)]]+Input_Raw[[#This Row],[33 kV_F2_Total_Export (KWh)2]]+Input_Raw[[#This Row],[33 kV_Wind_F3_Export (KWh)]]+Input_Raw[[#This Row],[33 kV_Wind_F4_Export (KWh)]]</f>
        <v>531600</v>
      </c>
      <c r="DA66" s="105">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16">
        <v>96</v>
      </c>
      <c r="DD66" s="116">
        <v>52674</v>
      </c>
      <c r="DE66" s="118">
        <v>539.04</v>
      </c>
      <c r="DF66" s="115"/>
      <c r="DG66" s="117">
        <v>78</v>
      </c>
      <c r="DH66" s="184"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103">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105">
        <f>IF(((Input_Raw[[#This Row],[33 kV_Wind_F1_Export reading]]-CJ66)*1200)&gt;0,(Input_Raw[[#This Row],[33 kV_Wind_F1_Export reading]]-CJ66)*1200,0)</f>
        <v>135600</v>
      </c>
      <c r="CS67" s="105">
        <f>IF(((Input_Raw[[#This Row],[33 kV_Wind_F1_Import reading]]-CK66)*1200)&gt;0,(Input_Raw[[#This Row],[33 kV_Wind_F1_Import reading]]-CK66)*1200,0)</f>
        <v>0</v>
      </c>
      <c r="CT67" s="105">
        <f>IF(((Input_Raw[[#This Row],[33 kV_Wind_F2_Export_reading]]-CL66)*1200)&gt;0,(Input_Raw[[#This Row],[33 kV_Wind_F2_Export_reading]]-CL66)*1200,0)</f>
        <v>90000</v>
      </c>
      <c r="CU67" s="105">
        <f>IF(((Input_Raw[[#This Row],[33 kV_Wind_F2_Import_reading]]-CM66)*1200)&gt;0,(Input_Raw[[#This Row],[33 kV_Wind_F2_Import_reading]]-CM66)*1200,0)</f>
        <v>0</v>
      </c>
      <c r="CV67" s="105">
        <f>IF(((Input_Raw[[#This Row],[33 kV_Wind_F3_Export_Reading]]-CN66)*1200)&gt;0,(Input_Raw[[#This Row],[33 kV_Wind_F3_Export_Reading]]-CN66)*1200,0)</f>
        <v>139200</v>
      </c>
      <c r="CW67" s="105">
        <f>IF(((Input_Raw[[#This Row],[33 kV_Wind_F3_Import_Reading]]-CO66)*1200)&gt;0,(Input_Raw[[#This Row],[33 kV_Wind_F3_Import_Reading]]-CO66)*1200,0)</f>
        <v>0</v>
      </c>
      <c r="CX67" s="105">
        <f>IF(((Input_Raw[[#This Row],[33 kV_Wind_F4_Export Reading]]-CP66)*1200)&gt;0,(Input_Raw[[#This Row],[33 kV_Wind_F4_Export Reading]]-CP66)*1200,0)</f>
        <v>184800</v>
      </c>
      <c r="CY67" s="105">
        <f>IF(((Input_Raw[[#This Row],[33 kV_Wind_F4_Import Reading]]-CQ66)*1200)&gt;0,(Input_Raw[[#This Row],[33 kV_Wind_F4_Import Reading]]-CQ66)*1200,0)</f>
        <v>0</v>
      </c>
      <c r="CZ67" s="105">
        <f>Input_Raw[[#This Row],[33 kV_F1_Total_Export (KWh)]]+Input_Raw[[#This Row],[33 kV_F2_Total_Export (KWh)2]]+Input_Raw[[#This Row],[33 kV_Wind_F3_Export (KWh)]]+Input_Raw[[#This Row],[33 kV_Wind_F4_Export (KWh)]]</f>
        <v>549600</v>
      </c>
      <c r="DA67" s="105">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16">
        <v>96</v>
      </c>
      <c r="DD67" s="116">
        <v>111665</v>
      </c>
      <c r="DE67" s="118">
        <v>552.53</v>
      </c>
      <c r="DF67" s="115"/>
      <c r="DG67" s="117">
        <v>78</v>
      </c>
      <c r="DH67" s="184"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103">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105">
        <f>IF(((Input_Raw[[#This Row],[33 kV_Wind_F1_Export reading]]-CJ67)*1200)&gt;0,(Input_Raw[[#This Row],[33 kV_Wind_F1_Export reading]]-CJ67)*1200,0)</f>
        <v>175200</v>
      </c>
      <c r="CS68" s="105">
        <f>IF(((Input_Raw[[#This Row],[33 kV_Wind_F1_Import reading]]-CK67)*1200)&gt;0,(Input_Raw[[#This Row],[33 kV_Wind_F1_Import reading]]-CK67)*1200,0)</f>
        <v>0</v>
      </c>
      <c r="CT68" s="105">
        <f>IF(((Input_Raw[[#This Row],[33 kV_Wind_F2_Export_reading]]-CL67)*1200)&gt;0,(Input_Raw[[#This Row],[33 kV_Wind_F2_Export_reading]]-CL67)*1200,0)</f>
        <v>135600</v>
      </c>
      <c r="CU68" s="105">
        <f>IF(((Input_Raw[[#This Row],[33 kV_Wind_F2_Import_reading]]-CM67)*1200)&gt;0,(Input_Raw[[#This Row],[33 kV_Wind_F2_Import_reading]]-CM67)*1200,0)</f>
        <v>0</v>
      </c>
      <c r="CV68" s="105">
        <f>IF(((Input_Raw[[#This Row],[33 kV_Wind_F3_Export_Reading]]-CN67)*1200)&gt;0,(Input_Raw[[#This Row],[33 kV_Wind_F3_Export_Reading]]-CN67)*1200,0)</f>
        <v>249600</v>
      </c>
      <c r="CW68" s="105">
        <f>IF(((Input_Raw[[#This Row],[33 kV_Wind_F3_Import_Reading]]-CO67)*1200)&gt;0,(Input_Raw[[#This Row],[33 kV_Wind_F3_Import_Reading]]-CO67)*1200,0)</f>
        <v>0</v>
      </c>
      <c r="CX68" s="105">
        <f>IF(((Input_Raw[[#This Row],[33 kV_Wind_F4_Export Reading]]-CP67)*1200)&gt;0,(Input_Raw[[#This Row],[33 kV_Wind_F4_Export Reading]]-CP67)*1200,0)</f>
        <v>266400</v>
      </c>
      <c r="CY68" s="105">
        <f>IF(((Input_Raw[[#This Row],[33 kV_Wind_F4_Import Reading]]-CQ67)*1200)&gt;0,(Input_Raw[[#This Row],[33 kV_Wind_F4_Import Reading]]-CQ67)*1200,0)</f>
        <v>0</v>
      </c>
      <c r="CZ68" s="105">
        <f>Input_Raw[[#This Row],[33 kV_F1_Total_Export (KWh)]]+Input_Raw[[#This Row],[33 kV_F2_Total_Export (KWh)2]]+Input_Raw[[#This Row],[33 kV_Wind_F3_Export (KWh)]]+Input_Raw[[#This Row],[33 kV_Wind_F4_Export (KWh)]]</f>
        <v>826800</v>
      </c>
      <c r="DA68" s="105">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16">
        <v>96</v>
      </c>
      <c r="DD68" s="116">
        <v>291053</v>
      </c>
      <c r="DE68" s="118">
        <v>829.71</v>
      </c>
      <c r="DF68" s="115"/>
      <c r="DG68" s="117">
        <v>78</v>
      </c>
      <c r="DH68" s="184"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105">
        <f>IF(((Input_Raw[[#This Row],[33 kV_Wind_F1_Export reading]]-CJ68)*1200)&gt;0,(Input_Raw[[#This Row],[33 kV_Wind_F1_Export reading]]-CJ68)*1200,0)</f>
        <v>178800</v>
      </c>
      <c r="CS69" s="105">
        <f>IF(((Input_Raw[[#This Row],[33 kV_Wind_F1_Import reading]]-CK68)*1200)&gt;0,(Input_Raw[[#This Row],[33 kV_Wind_F1_Import reading]]-CK68)*1200,0)</f>
        <v>0</v>
      </c>
      <c r="CT69" s="105">
        <f>IF(((Input_Raw[[#This Row],[33 kV_Wind_F2_Export_reading]]-CL68)*1200)&gt;0,(Input_Raw[[#This Row],[33 kV_Wind_F2_Export_reading]]-CL68)*1200,0)</f>
        <v>150000</v>
      </c>
      <c r="CU69" s="105">
        <f>IF(((Input_Raw[[#This Row],[33 kV_Wind_F2_Import_reading]]-CM68)*1200)&gt;0,(Input_Raw[[#This Row],[33 kV_Wind_F2_Import_reading]]-CM68)*1200,0)</f>
        <v>0</v>
      </c>
      <c r="CV69" s="105">
        <f>IF(((Input_Raw[[#This Row],[33 kV_Wind_F3_Export_Reading]]-CN68)*1200)&gt;0,(Input_Raw[[#This Row],[33 kV_Wind_F3_Export_Reading]]-CN68)*1200,0)</f>
        <v>225600</v>
      </c>
      <c r="CW69" s="105">
        <f>IF(((Input_Raw[[#This Row],[33 kV_Wind_F3_Import_Reading]]-CO68)*1200)&gt;0,(Input_Raw[[#This Row],[33 kV_Wind_F3_Import_Reading]]-CO68)*1200,0)</f>
        <v>0</v>
      </c>
      <c r="CX69" s="105">
        <f>IF(((Input_Raw[[#This Row],[33 kV_Wind_F4_Export Reading]]-CP68)*1200)&gt;0,(Input_Raw[[#This Row],[33 kV_Wind_F4_Export Reading]]-CP68)*1200,0)</f>
        <v>228000</v>
      </c>
      <c r="CY69" s="105">
        <f>IF(((Input_Raw[[#This Row],[33 kV_Wind_F4_Import Reading]]-CQ68)*1200)&gt;0,(Input_Raw[[#This Row],[33 kV_Wind_F4_Import Reading]]-CQ68)*1200,0)</f>
        <v>0</v>
      </c>
      <c r="CZ69" s="105">
        <f>Input_Raw[[#This Row],[33 kV_F1_Total_Export (KWh)]]+Input_Raw[[#This Row],[33 kV_F2_Total_Export (KWh)2]]+Input_Raw[[#This Row],[33 kV_Wind_F3_Export (KWh)]]+Input_Raw[[#This Row],[33 kV_Wind_F4_Export (KWh)]]</f>
        <v>782400</v>
      </c>
      <c r="DA69" s="105">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16">
        <v>96</v>
      </c>
      <c r="DD69" s="116">
        <v>247411</v>
      </c>
      <c r="DE69" s="118">
        <v>785.95</v>
      </c>
      <c r="DF69" s="115"/>
      <c r="DG69" s="117">
        <v>78</v>
      </c>
      <c r="DH69" s="184"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105">
        <f>IF(((Input_Raw[[#This Row],[33 kV_Wind_F1_Export reading]]-CJ69)*1200)&gt;0,(Input_Raw[[#This Row],[33 kV_Wind_F1_Export reading]]-CJ69)*1200,0)</f>
        <v>88800</v>
      </c>
      <c r="CS70" s="105">
        <f>IF(((Input_Raw[[#This Row],[33 kV_Wind_F1_Import reading]]-CK69)*1200)&gt;0,(Input_Raw[[#This Row],[33 kV_Wind_F1_Import reading]]-CK69)*1200,0)</f>
        <v>0</v>
      </c>
      <c r="CT70" s="105">
        <f>IF(((Input_Raw[[#This Row],[33 kV_Wind_F2_Export_reading]]-CL69)*1200)&gt;0,(Input_Raw[[#This Row],[33 kV_Wind_F2_Export_reading]]-CL69)*1200,0)</f>
        <v>79200</v>
      </c>
      <c r="CU70" s="105">
        <f>IF(((Input_Raw[[#This Row],[33 kV_Wind_F2_Import_reading]]-CM69)*1200)&gt;0,(Input_Raw[[#This Row],[33 kV_Wind_F2_Import_reading]]-CM69)*1200,0)</f>
        <v>0</v>
      </c>
      <c r="CV70" s="105">
        <f>IF(((Input_Raw[[#This Row],[33 kV_Wind_F3_Export_Reading]]-CN69)*1200)&gt;0,(Input_Raw[[#This Row],[33 kV_Wind_F3_Export_Reading]]-CN69)*1200,0)</f>
        <v>90000</v>
      </c>
      <c r="CW70" s="105">
        <f>IF(((Input_Raw[[#This Row],[33 kV_Wind_F3_Import_Reading]]-CO69)*1200)&gt;0,(Input_Raw[[#This Row],[33 kV_Wind_F3_Import_Reading]]-CO69)*1200,0)</f>
        <v>0</v>
      </c>
      <c r="CX70" s="105">
        <f>IF(((Input_Raw[[#This Row],[33 kV_Wind_F4_Export Reading]]-CP69)*1200)&gt;0,(Input_Raw[[#This Row],[33 kV_Wind_F4_Export Reading]]-CP69)*1200,0)</f>
        <v>121200</v>
      </c>
      <c r="CY70" s="105">
        <f>IF(((Input_Raw[[#This Row],[33 kV_Wind_F4_Import Reading]]-CQ69)*1200)&gt;0,(Input_Raw[[#This Row],[33 kV_Wind_F4_Import Reading]]-CQ69)*1200,0)</f>
        <v>0</v>
      </c>
      <c r="CZ70" s="105">
        <f>Input_Raw[[#This Row],[33 kV_F1_Total_Export (KWh)]]+Input_Raw[[#This Row],[33 kV_F2_Total_Export (KWh)2]]+Input_Raw[[#This Row],[33 kV_Wind_F3_Export (KWh)]]+Input_Raw[[#This Row],[33 kV_Wind_F4_Export (KWh)]]</f>
        <v>379200</v>
      </c>
      <c r="DA70" s="105">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16">
        <v>96</v>
      </c>
      <c r="DD70" s="116">
        <v>14431</v>
      </c>
      <c r="DE70" s="118">
        <v>381.73</v>
      </c>
      <c r="DF70" s="115"/>
      <c r="DG70" s="117">
        <v>78</v>
      </c>
      <c r="DH70" s="184"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103">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105">
        <f>IF(((Input_Raw[[#This Row],[33 kV_Wind_F1_Export reading]]-CJ70)*1200)&gt;0,(Input_Raw[[#This Row],[33 kV_Wind_F1_Export reading]]-CJ70)*1200,0)</f>
        <v>177600</v>
      </c>
      <c r="CS71" s="105">
        <f>IF(((Input_Raw[[#This Row],[33 kV_Wind_F1_Import reading]]-CK70)*1200)&gt;0,(Input_Raw[[#This Row],[33 kV_Wind_F1_Import reading]]-CK70)*1200,0)</f>
        <v>0</v>
      </c>
      <c r="CT71" s="105">
        <f>IF(((Input_Raw[[#This Row],[33 kV_Wind_F2_Export_reading]]-CL70)*1200)&gt;0,(Input_Raw[[#This Row],[33 kV_Wind_F2_Export_reading]]-CL70)*1200,0)</f>
        <v>145200</v>
      </c>
      <c r="CU71" s="105">
        <f>IF(((Input_Raw[[#This Row],[33 kV_Wind_F2_Import_reading]]-CM70)*1200)&gt;0,(Input_Raw[[#This Row],[33 kV_Wind_F2_Import_reading]]-CM70)*1200,0)</f>
        <v>0</v>
      </c>
      <c r="CV71" s="105">
        <f>IF(((Input_Raw[[#This Row],[33 kV_Wind_F3_Export_Reading]]-CN70)*1200)&gt;0,(Input_Raw[[#This Row],[33 kV_Wind_F3_Export_Reading]]-CN70)*1200,0)</f>
        <v>189600</v>
      </c>
      <c r="CW71" s="105">
        <f>IF(((Input_Raw[[#This Row],[33 kV_Wind_F3_Import_Reading]]-CO70)*1200)&gt;0,(Input_Raw[[#This Row],[33 kV_Wind_F3_Import_Reading]]-CO70)*1200,0)</f>
        <v>0</v>
      </c>
      <c r="CX71" s="105">
        <f>IF(((Input_Raw[[#This Row],[33 kV_Wind_F4_Export Reading]]-CP70)*1200)&gt;0,(Input_Raw[[#This Row],[33 kV_Wind_F4_Export Reading]]-CP70)*1200,0)</f>
        <v>214800</v>
      </c>
      <c r="CY71" s="105">
        <f>IF(((Input_Raw[[#This Row],[33 kV_Wind_F4_Import Reading]]-CQ70)*1200)&gt;0,(Input_Raw[[#This Row],[33 kV_Wind_F4_Import Reading]]-CQ70)*1200,0)</f>
        <v>0</v>
      </c>
      <c r="CZ71" s="105">
        <f>Input_Raw[[#This Row],[33 kV_F1_Total_Export (KWh)]]+Input_Raw[[#This Row],[33 kV_F2_Total_Export (KWh)2]]+Input_Raw[[#This Row],[33 kV_Wind_F3_Export (KWh)]]+Input_Raw[[#This Row],[33 kV_Wind_F4_Export (KWh)]]</f>
        <v>727200</v>
      </c>
      <c r="DA71" s="105">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16">
        <v>96</v>
      </c>
      <c r="DD71" s="116">
        <v>118681</v>
      </c>
      <c r="DE71" s="118">
        <v>730.52</v>
      </c>
      <c r="DF71" s="115"/>
      <c r="DG71" s="117">
        <v>78</v>
      </c>
      <c r="DH71" s="184"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105">
        <f>IF(((Input_Raw[[#This Row],[33 kV_Wind_F1_Export reading]]-CJ71)*1200)&gt;0,(Input_Raw[[#This Row],[33 kV_Wind_F1_Export reading]]-CJ71)*1200,0)</f>
        <v>30000</v>
      </c>
      <c r="CS72" s="105">
        <f>IF(((Input_Raw[[#This Row],[33 kV_Wind_F1_Import reading]]-CK71)*1200)&gt;0,(Input_Raw[[#This Row],[33 kV_Wind_F1_Import reading]]-CK71)*1200,0)</f>
        <v>0</v>
      </c>
      <c r="CT72" s="105">
        <f>IF(((Input_Raw[[#This Row],[33 kV_Wind_F2_Export_reading]]-CL71)*1200)&gt;0,(Input_Raw[[#This Row],[33 kV_Wind_F2_Export_reading]]-CL71)*1200,0)</f>
        <v>18000</v>
      </c>
      <c r="CU72" s="105">
        <f>IF(((Input_Raw[[#This Row],[33 kV_Wind_F2_Import_reading]]-CM71)*1200)&gt;0,(Input_Raw[[#This Row],[33 kV_Wind_F2_Import_reading]]-CM71)*1200,0)</f>
        <v>0</v>
      </c>
      <c r="CV72" s="105">
        <f>IF(((Input_Raw[[#This Row],[33 kV_Wind_F3_Export_Reading]]-CN71)*1200)&gt;0,(Input_Raw[[#This Row],[33 kV_Wind_F3_Export_Reading]]-CN71)*1200,0)</f>
        <v>50400</v>
      </c>
      <c r="CW72" s="105">
        <f>IF(((Input_Raw[[#This Row],[33 kV_Wind_F3_Import_Reading]]-CO71)*1200)&gt;0,(Input_Raw[[#This Row],[33 kV_Wind_F3_Import_Reading]]-CO71)*1200,0)</f>
        <v>0</v>
      </c>
      <c r="CX72" s="105">
        <f>IF(((Input_Raw[[#This Row],[33 kV_Wind_F4_Export Reading]]-CP71)*1200)&gt;0,(Input_Raw[[#This Row],[33 kV_Wind_F4_Export Reading]]-CP71)*1200,0)</f>
        <v>58800</v>
      </c>
      <c r="CY72" s="105">
        <f>IF(((Input_Raw[[#This Row],[33 kV_Wind_F4_Import Reading]]-CQ71)*1200)&gt;0,(Input_Raw[[#This Row],[33 kV_Wind_F4_Import Reading]]-CQ71)*1200,0)</f>
        <v>0</v>
      </c>
      <c r="CZ72" s="105">
        <f>Input_Raw[[#This Row],[33 kV_F1_Total_Export (KWh)]]+Input_Raw[[#This Row],[33 kV_F2_Total_Export (KWh)2]]+Input_Raw[[#This Row],[33 kV_Wind_F3_Export (KWh)]]+Input_Raw[[#This Row],[33 kV_Wind_F4_Export (KWh)]]</f>
        <v>157200</v>
      </c>
      <c r="DA72" s="105">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16">
        <v>96</v>
      </c>
      <c r="DD72" s="116">
        <v>19160</v>
      </c>
      <c r="DE72" s="187">
        <v>161.19999999999999</v>
      </c>
      <c r="DF72" s="115"/>
      <c r="DG72" s="117">
        <v>78</v>
      </c>
      <c r="DH72" s="184"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105">
        <f>IF(((Input_Raw[[#This Row],[33 kV_Wind_F1_Export reading]]-CJ72)*1200)&gt;0,(Input_Raw[[#This Row],[33 kV_Wind_F1_Export reading]]-CJ72)*1200,0)</f>
        <v>60000</v>
      </c>
      <c r="CS73" s="105">
        <f>IF(((Input_Raw[[#This Row],[33 kV_Wind_F1_Import reading]]-CK72)*1200)&gt;0,(Input_Raw[[#This Row],[33 kV_Wind_F1_Import reading]]-CK72)*1200,0)</f>
        <v>1200</v>
      </c>
      <c r="CT73" s="105">
        <f>IF(((Input_Raw[[#This Row],[33 kV_Wind_F2_Export_reading]]-CL72)*1200)&gt;0,(Input_Raw[[#This Row],[33 kV_Wind_F2_Export_reading]]-CL72)*1200,0)</f>
        <v>54000</v>
      </c>
      <c r="CU73" s="105">
        <f>IF(((Input_Raw[[#This Row],[33 kV_Wind_F2_Import_reading]]-CM72)*1200)&gt;0,(Input_Raw[[#This Row],[33 kV_Wind_F2_Import_reading]]-CM72)*1200,0)</f>
        <v>0</v>
      </c>
      <c r="CV73" s="105">
        <f>IF(((Input_Raw[[#This Row],[33 kV_Wind_F3_Export_Reading]]-CN72)*1200)&gt;0,(Input_Raw[[#This Row],[33 kV_Wind_F3_Export_Reading]]-CN72)*1200,0)</f>
        <v>79200</v>
      </c>
      <c r="CW73" s="105">
        <f>IF(((Input_Raw[[#This Row],[33 kV_Wind_F3_Import_Reading]]-CO72)*1200)&gt;0,(Input_Raw[[#This Row],[33 kV_Wind_F3_Import_Reading]]-CO72)*1200,0)</f>
        <v>1200</v>
      </c>
      <c r="CX73" s="105">
        <f>IF(((Input_Raw[[#This Row],[33 kV_Wind_F4_Export Reading]]-CP72)*1200)&gt;0,(Input_Raw[[#This Row],[33 kV_Wind_F4_Export Reading]]-CP72)*1200,0)</f>
        <v>79200</v>
      </c>
      <c r="CY73" s="105">
        <f>IF(((Input_Raw[[#This Row],[33 kV_Wind_F4_Import Reading]]-CQ72)*1200)&gt;0,(Input_Raw[[#This Row],[33 kV_Wind_F4_Import Reading]]-CQ72)*1200,0)</f>
        <v>0</v>
      </c>
      <c r="CZ73" s="105">
        <f>Input_Raw[[#This Row],[33 kV_F1_Total_Export (KWh)]]+Input_Raw[[#This Row],[33 kV_F2_Total_Export (KWh)2]]+Input_Raw[[#This Row],[33 kV_Wind_F3_Export (KWh)]]+Input_Raw[[#This Row],[33 kV_Wind_F4_Export (KWh)]]</f>
        <v>272400</v>
      </c>
      <c r="DA73" s="105">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16">
        <v>96</v>
      </c>
      <c r="DD73" s="116">
        <v>8433</v>
      </c>
      <c r="DE73" s="118">
        <v>275.12</v>
      </c>
      <c r="DF73" s="115"/>
      <c r="DG73" s="117">
        <v>78</v>
      </c>
      <c r="DH73" s="184"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102">
        <v>14611</v>
      </c>
      <c r="L74" s="102">
        <v>14608</v>
      </c>
      <c r="M74" s="102">
        <v>14615</v>
      </c>
      <c r="N74" s="15">
        <v>12801</v>
      </c>
      <c r="O74" s="102">
        <v>14632</v>
      </c>
      <c r="P74" s="102">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105">
        <f>IF(((Input_Raw[[#This Row],[33 kV_Wind_F1_Export reading]]-CJ73)*1200)&gt;0,(Input_Raw[[#This Row],[33 kV_Wind_F1_Export reading]]-CJ73)*1200,0)</f>
        <v>76800</v>
      </c>
      <c r="CS74" s="105">
        <f>IF(((Input_Raw[[#This Row],[33 kV_Wind_F1_Import reading]]-CK73)*1200)&gt;0,(Input_Raw[[#This Row],[33 kV_Wind_F1_Import reading]]-CK73)*1200,0)</f>
        <v>0</v>
      </c>
      <c r="CT74" s="105">
        <f>IF(((Input_Raw[[#This Row],[33 kV_Wind_F2_Export_reading]]-CL73)*1200)&gt;0,(Input_Raw[[#This Row],[33 kV_Wind_F2_Export_reading]]-CL73)*1200,0)</f>
        <v>75600</v>
      </c>
      <c r="CU74" s="105">
        <f>IF(((Input_Raw[[#This Row],[33 kV_Wind_F2_Import_reading]]-CM73)*1200)&gt;0,(Input_Raw[[#This Row],[33 kV_Wind_F2_Import_reading]]-CM73)*1200,0)</f>
        <v>0</v>
      </c>
      <c r="CV74" s="105">
        <f>IF(((Input_Raw[[#This Row],[33 kV_Wind_F3_Export_Reading]]-CN73)*1200)&gt;0,(Input_Raw[[#This Row],[33 kV_Wind_F3_Export_Reading]]-CN73)*1200,0)</f>
        <v>129600</v>
      </c>
      <c r="CW74" s="105">
        <f>IF(((Input_Raw[[#This Row],[33 kV_Wind_F3_Import_Reading]]-CO73)*1200)&gt;0,(Input_Raw[[#This Row],[33 kV_Wind_F3_Import_Reading]]-CO73)*1200,0)</f>
        <v>0</v>
      </c>
      <c r="CX74" s="105">
        <f>IF(((Input_Raw[[#This Row],[33 kV_Wind_F4_Export Reading]]-CP73)*1200)&gt;0,(Input_Raw[[#This Row],[33 kV_Wind_F4_Export Reading]]-CP73)*1200,0)</f>
        <v>115200</v>
      </c>
      <c r="CY74" s="105">
        <f>IF(((Input_Raw[[#This Row],[33 kV_Wind_F4_Import Reading]]-CQ73)*1200)&gt;0,(Input_Raw[[#This Row],[33 kV_Wind_F4_Import Reading]]-CQ73)*1200,0)</f>
        <v>0</v>
      </c>
      <c r="CZ74" s="105">
        <f>Input_Raw[[#This Row],[33 kV_F1_Total_Export (KWh)]]+Input_Raw[[#This Row],[33 kV_F2_Total_Export (KWh)2]]+Input_Raw[[#This Row],[33 kV_Wind_F3_Export (KWh)]]+Input_Raw[[#This Row],[33 kV_Wind_F4_Export (KWh)]]</f>
        <v>397200</v>
      </c>
      <c r="DA74" s="105">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16">
        <v>96</v>
      </c>
      <c r="DD74" s="116">
        <v>35674</v>
      </c>
      <c r="DE74" s="118">
        <v>409.15</v>
      </c>
      <c r="DF74" s="115"/>
      <c r="DG74" s="117">
        <v>78</v>
      </c>
      <c r="DH74" s="184"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103">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105">
        <f>IF(((Input_Raw[[#This Row],[33 kV_Wind_F1_Export reading]]-CJ74)*1200)&gt;0,(Input_Raw[[#This Row],[33 kV_Wind_F1_Export reading]]-CJ74)*1200,0)</f>
        <v>108000</v>
      </c>
      <c r="CS75" s="105">
        <f>IF(((Input_Raw[[#This Row],[33 kV_Wind_F1_Import reading]]-CK74)*1200)&gt;0,(Input_Raw[[#This Row],[33 kV_Wind_F1_Import reading]]-CK74)*1200,0)</f>
        <v>0</v>
      </c>
      <c r="CT75" s="105">
        <f>IF(((Input_Raw[[#This Row],[33 kV_Wind_F2_Export_reading]]-CL74)*1200)&gt;0,(Input_Raw[[#This Row],[33 kV_Wind_F2_Export_reading]]-CL74)*1200,0)</f>
        <v>102000</v>
      </c>
      <c r="CU75" s="105">
        <f>IF(((Input_Raw[[#This Row],[33 kV_Wind_F2_Import_reading]]-CM74)*1200)&gt;0,(Input_Raw[[#This Row],[33 kV_Wind_F2_Import_reading]]-CM74)*1200,0)</f>
        <v>0</v>
      </c>
      <c r="CV75" s="105">
        <f>IF(((Input_Raw[[#This Row],[33 kV_Wind_F3_Export_Reading]]-CN74)*1200)&gt;0,(Input_Raw[[#This Row],[33 kV_Wind_F3_Export_Reading]]-CN74)*1200,0)</f>
        <v>176400</v>
      </c>
      <c r="CW75" s="105">
        <f>IF(((Input_Raw[[#This Row],[33 kV_Wind_F3_Import_Reading]]-CO74)*1200)&gt;0,(Input_Raw[[#This Row],[33 kV_Wind_F3_Import_Reading]]-CO74)*1200,0)</f>
        <v>0</v>
      </c>
      <c r="CX75" s="105">
        <f>IF(((Input_Raw[[#This Row],[33 kV_Wind_F4_Export Reading]]-CP74)*1200)&gt;0,(Input_Raw[[#This Row],[33 kV_Wind_F4_Export Reading]]-CP74)*1200,0)</f>
        <v>163200</v>
      </c>
      <c r="CY75" s="105">
        <f>IF(((Input_Raw[[#This Row],[33 kV_Wind_F4_Import Reading]]-CQ74)*1200)&gt;0,(Input_Raw[[#This Row],[33 kV_Wind_F4_Import Reading]]-CQ74)*1200,0)</f>
        <v>0</v>
      </c>
      <c r="CZ75" s="105">
        <f>Input_Raw[[#This Row],[33 kV_F1_Total_Export (KWh)]]+Input_Raw[[#This Row],[33 kV_F2_Total_Export (KWh)2]]+Input_Raw[[#This Row],[33 kV_Wind_F3_Export (KWh)]]+Input_Raw[[#This Row],[33 kV_Wind_F4_Export (KWh)]]</f>
        <v>549600</v>
      </c>
      <c r="DA75" s="105">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16">
        <v>96</v>
      </c>
      <c r="DD75" s="116">
        <v>70776</v>
      </c>
      <c r="DE75" s="118">
        <v>551.66</v>
      </c>
      <c r="DF75" s="115"/>
      <c r="DG75" s="117">
        <v>78</v>
      </c>
      <c r="DH75" s="184"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105">
        <f>IF(((Input_Raw[[#This Row],[33 kV_Wind_F1_Export reading]]-CJ75)*1200)&gt;0,(Input_Raw[[#This Row],[33 kV_Wind_F1_Export reading]]-CJ75)*1200,0)</f>
        <v>103200</v>
      </c>
      <c r="CS76" s="105">
        <f>IF(((Input_Raw[[#This Row],[33 kV_Wind_F1_Import reading]]-CK75)*1200)&gt;0,(Input_Raw[[#This Row],[33 kV_Wind_F1_Import reading]]-CK75)*1200,0)</f>
        <v>0</v>
      </c>
      <c r="CT76" s="105">
        <f>IF(((Input_Raw[[#This Row],[33 kV_Wind_F2_Export_reading]]-CL75)*1200)&gt;0,(Input_Raw[[#This Row],[33 kV_Wind_F2_Export_reading]]-CL75)*1200,0)</f>
        <v>96000</v>
      </c>
      <c r="CU76" s="105">
        <f>IF(((Input_Raw[[#This Row],[33 kV_Wind_F2_Import_reading]]-CM75)*1200)&gt;0,(Input_Raw[[#This Row],[33 kV_Wind_F2_Import_reading]]-CM75)*1200,0)</f>
        <v>0</v>
      </c>
      <c r="CV76" s="105">
        <f>IF(((Input_Raw[[#This Row],[33 kV_Wind_F3_Export_Reading]]-CN75)*1200)&gt;0,(Input_Raw[[#This Row],[33 kV_Wind_F3_Export_Reading]]-CN75)*1200,0)</f>
        <v>184800</v>
      </c>
      <c r="CW76" s="105">
        <f>IF(((Input_Raw[[#This Row],[33 kV_Wind_F3_Import_Reading]]-CO75)*1200)&gt;0,(Input_Raw[[#This Row],[33 kV_Wind_F3_Import_Reading]]-CO75)*1200,0)</f>
        <v>0</v>
      </c>
      <c r="CX76" s="105">
        <f>IF(((Input_Raw[[#This Row],[33 kV_Wind_F4_Export Reading]]-CP75)*1200)&gt;0,(Input_Raw[[#This Row],[33 kV_Wind_F4_Export Reading]]-CP75)*1200,0)</f>
        <v>181200</v>
      </c>
      <c r="CY76" s="105">
        <f>IF(((Input_Raw[[#This Row],[33 kV_Wind_F4_Import Reading]]-CQ75)*1200)&gt;0,(Input_Raw[[#This Row],[33 kV_Wind_F4_Import Reading]]-CQ75)*1200,0)</f>
        <v>0</v>
      </c>
      <c r="CZ76" s="105">
        <f>Input_Raw[[#This Row],[33 kV_F1_Total_Export (KWh)]]+Input_Raw[[#This Row],[33 kV_F2_Total_Export (KWh)2]]+Input_Raw[[#This Row],[33 kV_Wind_F3_Export (KWh)]]+Input_Raw[[#This Row],[33 kV_Wind_F4_Export (KWh)]]</f>
        <v>565200</v>
      </c>
      <c r="DA76" s="105">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16">
        <v>96</v>
      </c>
      <c r="DD76" s="116">
        <v>100593</v>
      </c>
      <c r="DE76" s="118">
        <v>567.41</v>
      </c>
      <c r="DF76" s="115"/>
      <c r="DG76" s="117">
        <v>78</v>
      </c>
      <c r="DH76" s="184"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103">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105">
        <f>IF(((Input_Raw[[#This Row],[33 kV_Wind_F1_Export reading]]-CJ76)*1200)&gt;0,(Input_Raw[[#This Row],[33 kV_Wind_F1_Export reading]]-CJ76)*1200,0)</f>
        <v>200400</v>
      </c>
      <c r="CS77" s="105">
        <f>IF(((Input_Raw[[#This Row],[33 kV_Wind_F1_Import reading]]-CK76)*1200)&gt;0,(Input_Raw[[#This Row],[33 kV_Wind_F1_Import reading]]-CK76)*1200,0)</f>
        <v>0</v>
      </c>
      <c r="CT77" s="105">
        <f>IF(((Input_Raw[[#This Row],[33 kV_Wind_F2_Export_reading]]-CL76)*1200)&gt;0,(Input_Raw[[#This Row],[33 kV_Wind_F2_Export_reading]]-CL76)*1200,0)</f>
        <v>184800</v>
      </c>
      <c r="CU77" s="105">
        <f>IF(((Input_Raw[[#This Row],[33 kV_Wind_F2_Import_reading]]-CM76)*1200)&gt;0,(Input_Raw[[#This Row],[33 kV_Wind_F2_Import_reading]]-CM76)*1200,0)</f>
        <v>0</v>
      </c>
      <c r="CV77" s="105">
        <f>IF(((Input_Raw[[#This Row],[33 kV_Wind_F3_Export_Reading]]-CN76)*1200)&gt;0,(Input_Raw[[#This Row],[33 kV_Wind_F3_Export_Reading]]-CN76)*1200,0)</f>
        <v>222000</v>
      </c>
      <c r="CW77" s="105">
        <f>IF(((Input_Raw[[#This Row],[33 kV_Wind_F3_Import_Reading]]-CO76)*1200)&gt;0,(Input_Raw[[#This Row],[33 kV_Wind_F3_Import_Reading]]-CO76)*1200,0)</f>
        <v>0</v>
      </c>
      <c r="CX77" s="105">
        <f>IF(((Input_Raw[[#This Row],[33 kV_Wind_F4_Export Reading]]-CP76)*1200)&gt;0,(Input_Raw[[#This Row],[33 kV_Wind_F4_Export Reading]]-CP76)*1200,0)</f>
        <v>217200</v>
      </c>
      <c r="CY77" s="105">
        <f>IF(((Input_Raw[[#This Row],[33 kV_Wind_F4_Import Reading]]-CQ76)*1200)&gt;0,(Input_Raw[[#This Row],[33 kV_Wind_F4_Import Reading]]-CQ76)*1200,0)</f>
        <v>0</v>
      </c>
      <c r="CZ77" s="105">
        <f>Input_Raw[[#This Row],[33 kV_F1_Total_Export (KWh)]]+Input_Raw[[#This Row],[33 kV_F2_Total_Export (KWh)2]]+Input_Raw[[#This Row],[33 kV_Wind_F3_Export (KWh)]]+Input_Raw[[#This Row],[33 kV_Wind_F4_Export (KWh)]]</f>
        <v>824400</v>
      </c>
      <c r="DA77" s="105">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16">
        <v>96</v>
      </c>
      <c r="DD77" s="116">
        <v>186028</v>
      </c>
      <c r="DE77" s="118">
        <v>826.02</v>
      </c>
      <c r="DF77" s="115"/>
      <c r="DG77" s="117">
        <v>78</v>
      </c>
      <c r="DH77" s="184"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105">
        <f>IF(((Input_Raw[[#This Row],[33 kV_Wind_F1_Export reading]]-CJ77)*1200)&gt;0,(Input_Raw[[#This Row],[33 kV_Wind_F1_Export reading]]-CJ77)*1200,0)</f>
        <v>117600</v>
      </c>
      <c r="CS78" s="105">
        <f>IF(((Input_Raw[[#This Row],[33 kV_Wind_F1_Import reading]]-CK77)*1200)&gt;0,(Input_Raw[[#This Row],[33 kV_Wind_F1_Import reading]]-CK77)*1200,0)</f>
        <v>0</v>
      </c>
      <c r="CT78" s="105">
        <f>IF(((Input_Raw[[#This Row],[33 kV_Wind_F2_Export_reading]]-CL77)*1200)&gt;0,(Input_Raw[[#This Row],[33 kV_Wind_F2_Export_reading]]-CL77)*1200,0)</f>
        <v>100800</v>
      </c>
      <c r="CU78" s="105">
        <f>IF(((Input_Raw[[#This Row],[33 kV_Wind_F2_Import_reading]]-CM77)*1200)&gt;0,(Input_Raw[[#This Row],[33 kV_Wind_F2_Import_reading]]-CM77)*1200,0)</f>
        <v>1200</v>
      </c>
      <c r="CV78" s="105">
        <f>IF(((Input_Raw[[#This Row],[33 kV_Wind_F3_Export_Reading]]-CN77)*1200)&gt;0,(Input_Raw[[#This Row],[33 kV_Wind_F3_Export_Reading]]-CN77)*1200,0)</f>
        <v>118800</v>
      </c>
      <c r="CW78" s="105">
        <f>IF(((Input_Raw[[#This Row],[33 kV_Wind_F3_Import_Reading]]-CO77)*1200)&gt;0,(Input_Raw[[#This Row],[33 kV_Wind_F3_Import_Reading]]-CO77)*1200,0)</f>
        <v>0</v>
      </c>
      <c r="CX78" s="105">
        <f>IF(((Input_Raw[[#This Row],[33 kV_Wind_F4_Export Reading]]-CP77)*1200)&gt;0,(Input_Raw[[#This Row],[33 kV_Wind_F4_Export Reading]]-CP77)*1200,0)</f>
        <v>214800</v>
      </c>
      <c r="CY78" s="105">
        <f>IF(((Input_Raw[[#This Row],[33 kV_Wind_F4_Import Reading]]-CQ77)*1200)&gt;0,(Input_Raw[[#This Row],[33 kV_Wind_F4_Import Reading]]-CQ77)*1200,0)</f>
        <v>1200</v>
      </c>
      <c r="CZ78" s="105">
        <f>Input_Raw[[#This Row],[33 kV_F1_Total_Export (KWh)]]+Input_Raw[[#This Row],[33 kV_F2_Total_Export (KWh)2]]+Input_Raw[[#This Row],[33 kV_Wind_F3_Export (KWh)]]+Input_Raw[[#This Row],[33 kV_Wind_F4_Export (KWh)]]</f>
        <v>552000</v>
      </c>
      <c r="DA78" s="105">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16">
        <v>96</v>
      </c>
      <c r="DD78" s="116">
        <v>137294</v>
      </c>
      <c r="DE78" s="118">
        <v>554.89</v>
      </c>
      <c r="DF78" s="115"/>
      <c r="DG78" s="117">
        <v>78</v>
      </c>
      <c r="DH78" s="184"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105">
        <f>IF(((Input_Raw[[#This Row],[33 kV_Wind_F1_Export reading]]-CJ78)*1200)&gt;0,(Input_Raw[[#This Row],[33 kV_Wind_F1_Export reading]]-CJ78)*1200,0)</f>
        <v>118800</v>
      </c>
      <c r="CS79" s="105">
        <f>IF(((Input_Raw[[#This Row],[33 kV_Wind_F1_Import reading]]-CK78)*1200)&gt;0,(Input_Raw[[#This Row],[33 kV_Wind_F1_Import reading]]-CK78)*1200,0)</f>
        <v>0</v>
      </c>
      <c r="CT79" s="105">
        <f>IF(((Input_Raw[[#This Row],[33 kV_Wind_F2_Export_reading]]-CL78)*1200)&gt;0,(Input_Raw[[#This Row],[33 kV_Wind_F2_Export_reading]]-CL78)*1200,0)</f>
        <v>114000</v>
      </c>
      <c r="CU79" s="105">
        <f>IF(((Input_Raw[[#This Row],[33 kV_Wind_F2_Import_reading]]-CM78)*1200)&gt;0,(Input_Raw[[#This Row],[33 kV_Wind_F2_Import_reading]]-CM78)*1200,0)</f>
        <v>0</v>
      </c>
      <c r="CV79" s="105">
        <f>IF(((Input_Raw[[#This Row],[33 kV_Wind_F3_Export_Reading]]-CN78)*1200)&gt;0,(Input_Raw[[#This Row],[33 kV_Wind_F3_Export_Reading]]-CN78)*1200,0)</f>
        <v>157200</v>
      </c>
      <c r="CW79" s="105">
        <f>IF(((Input_Raw[[#This Row],[33 kV_Wind_F3_Import_Reading]]-CO78)*1200)&gt;0,(Input_Raw[[#This Row],[33 kV_Wind_F3_Import_Reading]]-CO78)*1200,0)</f>
        <v>0</v>
      </c>
      <c r="CX79" s="105">
        <f>IF(((Input_Raw[[#This Row],[33 kV_Wind_F4_Export Reading]]-CP78)*1200)&gt;0,(Input_Raw[[#This Row],[33 kV_Wind_F4_Export Reading]]-CP78)*1200,0)</f>
        <v>94800</v>
      </c>
      <c r="CY79" s="105">
        <f>IF(((Input_Raw[[#This Row],[33 kV_Wind_F4_Import Reading]]-CQ78)*1200)&gt;0,(Input_Raw[[#This Row],[33 kV_Wind_F4_Import Reading]]-CQ78)*1200,0)</f>
        <v>0</v>
      </c>
      <c r="CZ79" s="105">
        <f>Input_Raw[[#This Row],[33 kV_F1_Total_Export (KWh)]]+Input_Raw[[#This Row],[33 kV_F2_Total_Export (KWh)2]]+Input_Raw[[#This Row],[33 kV_Wind_F3_Export (KWh)]]+Input_Raw[[#This Row],[33 kV_Wind_F4_Export (KWh)]]</f>
        <v>484800</v>
      </c>
      <c r="DA79" s="105">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16">
        <v>96</v>
      </c>
      <c r="DD79" s="116">
        <v>100851</v>
      </c>
      <c r="DE79" s="118">
        <v>491.1</v>
      </c>
      <c r="DF79" s="115"/>
      <c r="DG79" s="117">
        <v>78</v>
      </c>
      <c r="DH79" s="184"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105">
        <f>IF(((Input_Raw[[#This Row],[33 kV_Wind_F1_Export reading]]-CJ79)*1200)&gt;0,(Input_Raw[[#This Row],[33 kV_Wind_F1_Export reading]]-CJ79)*1200,0)</f>
        <v>87600</v>
      </c>
      <c r="CS80" s="105">
        <f>IF(((Input_Raw[[#This Row],[33 kV_Wind_F1_Import reading]]-CK79)*1200)&gt;0,(Input_Raw[[#This Row],[33 kV_Wind_F1_Import reading]]-CK79)*1200,0)</f>
        <v>1200</v>
      </c>
      <c r="CT80" s="105">
        <f>IF(((Input_Raw[[#This Row],[33 kV_Wind_F2_Export_reading]]-CL79)*1200)&gt;0,(Input_Raw[[#This Row],[33 kV_Wind_F2_Export_reading]]-CL79)*1200,0)</f>
        <v>76800</v>
      </c>
      <c r="CU80" s="105">
        <f>IF(((Input_Raw[[#This Row],[33 kV_Wind_F2_Import_reading]]-CM79)*1200)&gt;0,(Input_Raw[[#This Row],[33 kV_Wind_F2_Import_reading]]-CM79)*1200,0)</f>
        <v>0</v>
      </c>
      <c r="CV80" s="105">
        <f>IF(((Input_Raw[[#This Row],[33 kV_Wind_F3_Export_Reading]]-CN79)*1200)&gt;0,(Input_Raw[[#This Row],[33 kV_Wind_F3_Export_Reading]]-CN79)*1200,0)</f>
        <v>132000</v>
      </c>
      <c r="CW80" s="105">
        <f>IF(((Input_Raw[[#This Row],[33 kV_Wind_F3_Import_Reading]]-CO79)*1200)&gt;0,(Input_Raw[[#This Row],[33 kV_Wind_F3_Import_Reading]]-CO79)*1200,0)</f>
        <v>1200</v>
      </c>
      <c r="CX80" s="105">
        <f>IF(((Input_Raw[[#This Row],[33 kV_Wind_F4_Export Reading]]-CP79)*1200)&gt;0,(Input_Raw[[#This Row],[33 kV_Wind_F4_Export Reading]]-CP79)*1200,0)</f>
        <v>126000</v>
      </c>
      <c r="CY80" s="105">
        <f>IF(((Input_Raw[[#This Row],[33 kV_Wind_F4_Import Reading]]-CQ79)*1200)&gt;0,(Input_Raw[[#This Row],[33 kV_Wind_F4_Import Reading]]-CQ79)*1200,0)</f>
        <v>0</v>
      </c>
      <c r="CZ80" s="105">
        <f>Input_Raw[[#This Row],[33 kV_F1_Total_Export (KWh)]]+Input_Raw[[#This Row],[33 kV_F2_Total_Export (KWh)2]]+Input_Raw[[#This Row],[33 kV_Wind_F3_Export (KWh)]]+Input_Raw[[#This Row],[33 kV_Wind_F4_Export (KWh)]]</f>
        <v>422400</v>
      </c>
      <c r="DA80" s="105">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16">
        <v>70</v>
      </c>
      <c r="DD80" s="116">
        <v>115200</v>
      </c>
      <c r="DE80" s="118">
        <v>428.57</v>
      </c>
      <c r="DF80" s="115"/>
      <c r="DG80" s="117">
        <v>78</v>
      </c>
      <c r="DH80" s="184"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105">
        <f>IF(((Input_Raw[[#This Row],[33 kV_Wind_F1_Export reading]]-CJ80)*1200)&gt;0,(Input_Raw[[#This Row],[33 kV_Wind_F1_Export reading]]-CJ80)*1200,0)</f>
        <v>26400</v>
      </c>
      <c r="CS81" s="105">
        <f>IF(((Input_Raw[[#This Row],[33 kV_Wind_F1_Import reading]]-CK80)*1200)&gt;0,(Input_Raw[[#This Row],[33 kV_Wind_F1_Import reading]]-CK80)*1200,0)</f>
        <v>1200</v>
      </c>
      <c r="CT81" s="105">
        <f>IF(((Input_Raw[[#This Row],[33 kV_Wind_F2_Export_reading]]-CL80)*1200)&gt;0,(Input_Raw[[#This Row],[33 kV_Wind_F2_Export_reading]]-CL80)*1200,0)</f>
        <v>18000</v>
      </c>
      <c r="CU81" s="105">
        <f>IF(((Input_Raw[[#This Row],[33 kV_Wind_F2_Import_reading]]-CM80)*1200)&gt;0,(Input_Raw[[#This Row],[33 kV_Wind_F2_Import_reading]]-CM80)*1200,0)</f>
        <v>1200</v>
      </c>
      <c r="CV81" s="105">
        <f>IF(((Input_Raw[[#This Row],[33 kV_Wind_F3_Export_Reading]]-CN80)*1200)&gt;0,(Input_Raw[[#This Row],[33 kV_Wind_F3_Export_Reading]]-CN80)*1200,0)</f>
        <v>34800</v>
      </c>
      <c r="CW81" s="105">
        <f>IF(((Input_Raw[[#This Row],[33 kV_Wind_F3_Import_Reading]]-CO80)*1200)&gt;0,(Input_Raw[[#This Row],[33 kV_Wind_F3_Import_Reading]]-CO80)*1200,0)</f>
        <v>1200</v>
      </c>
      <c r="CX81" s="105">
        <f>IF(((Input_Raw[[#This Row],[33 kV_Wind_F4_Export Reading]]-CP80)*1200)&gt;0,(Input_Raw[[#This Row],[33 kV_Wind_F4_Export Reading]]-CP80)*1200,0)</f>
        <v>33600</v>
      </c>
      <c r="CY81" s="105">
        <f>IF(((Input_Raw[[#This Row],[33 kV_Wind_F4_Import Reading]]-CQ80)*1200)&gt;0,(Input_Raw[[#This Row],[33 kV_Wind_F4_Import Reading]]-CQ80)*1200,0)</f>
        <v>2400</v>
      </c>
      <c r="CZ81" s="105">
        <f>Input_Raw[[#This Row],[33 kV_F1_Total_Export (KWh)]]+Input_Raw[[#This Row],[33 kV_F2_Total_Export (KWh)2]]+Input_Raw[[#This Row],[33 kV_Wind_F3_Export (KWh)]]+Input_Raw[[#This Row],[33 kV_Wind_F4_Export (KWh)]]</f>
        <v>112800</v>
      </c>
      <c r="DA81" s="105">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16">
        <v>86</v>
      </c>
      <c r="DD81" s="116">
        <v>4123</v>
      </c>
      <c r="DE81" s="118">
        <v>116.75</v>
      </c>
      <c r="DF81" s="115"/>
      <c r="DG81" s="117">
        <v>78</v>
      </c>
      <c r="DH81" s="184"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105">
        <f>IF(((Input_Raw[[#This Row],[33 kV_Wind_F1_Export reading]]-CJ81)*1200)&gt;0,(Input_Raw[[#This Row],[33 kV_Wind_F1_Export reading]]-CJ81)*1200,0)</f>
        <v>15600</v>
      </c>
      <c r="CS82" s="105">
        <f>IF(((Input_Raw[[#This Row],[33 kV_Wind_F1_Import reading]]-CK81)*1200)&gt;0,(Input_Raw[[#This Row],[33 kV_Wind_F1_Import reading]]-CK81)*1200,0)</f>
        <v>2400</v>
      </c>
      <c r="CT82" s="105">
        <f>IF(((Input_Raw[[#This Row],[33 kV_Wind_F2_Export_reading]]-CL81)*1200)&gt;0,(Input_Raw[[#This Row],[33 kV_Wind_F2_Export_reading]]-CL81)*1200,0)</f>
        <v>14400</v>
      </c>
      <c r="CU82" s="105">
        <f>IF(((Input_Raw[[#This Row],[33 kV_Wind_F2_Import_reading]]-CM81)*1200)&gt;0,(Input_Raw[[#This Row],[33 kV_Wind_F2_Import_reading]]-CM81)*1200,0)</f>
        <v>2400</v>
      </c>
      <c r="CV82" s="105">
        <f>IF(((Input_Raw[[#This Row],[33 kV_Wind_F3_Export_Reading]]-CN81)*1200)&gt;0,(Input_Raw[[#This Row],[33 kV_Wind_F3_Export_Reading]]-CN81)*1200,0)</f>
        <v>22800</v>
      </c>
      <c r="CW82" s="105">
        <f>IF(((Input_Raw[[#This Row],[33 kV_Wind_F3_Import_Reading]]-CO81)*1200)&gt;0,(Input_Raw[[#This Row],[33 kV_Wind_F3_Import_Reading]]-CO81)*1200,0)</f>
        <v>1200</v>
      </c>
      <c r="CX82" s="105">
        <f>IF(((Input_Raw[[#This Row],[33 kV_Wind_F4_Export Reading]]-CP81)*1200)&gt;0,(Input_Raw[[#This Row],[33 kV_Wind_F4_Export Reading]]-CP81)*1200,0)</f>
        <v>20400</v>
      </c>
      <c r="CY82" s="105">
        <f>IF(((Input_Raw[[#This Row],[33 kV_Wind_F4_Import Reading]]-CQ81)*1200)&gt;0,(Input_Raw[[#This Row],[33 kV_Wind_F4_Import Reading]]-CQ81)*1200,0)</f>
        <v>1200</v>
      </c>
      <c r="CZ82" s="105">
        <f>Input_Raw[[#This Row],[33 kV_F1_Total_Export (KWh)]]+Input_Raw[[#This Row],[33 kV_F2_Total_Export (KWh)2]]+Input_Raw[[#This Row],[33 kV_Wind_F3_Export (KWh)]]+Input_Raw[[#This Row],[33 kV_Wind_F4_Export (KWh)]]</f>
        <v>73200</v>
      </c>
      <c r="DA82" s="105">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16">
        <v>96</v>
      </c>
      <c r="DD82" s="116">
        <v>129</v>
      </c>
      <c r="DE82" s="118">
        <v>76.680000000000007</v>
      </c>
      <c r="DF82" s="115"/>
      <c r="DG82" s="117">
        <v>78</v>
      </c>
      <c r="DH82" s="184"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105">
        <f>IF(((Input_Raw[[#This Row],[33 kV_Wind_F1_Export reading]]-CJ82)*1200)&gt;0,(Input_Raw[[#This Row],[33 kV_Wind_F1_Export reading]]-CJ82)*1200,0)</f>
        <v>72000</v>
      </c>
      <c r="CS83" s="105">
        <f>IF(((Input_Raw[[#This Row],[33 kV_Wind_F1_Import reading]]-CK82)*1200)&gt;0,(Input_Raw[[#This Row],[33 kV_Wind_F1_Import reading]]-CK82)*1200,0)</f>
        <v>0</v>
      </c>
      <c r="CT83" s="105">
        <f>IF(((Input_Raw[[#This Row],[33 kV_Wind_F2_Export_reading]]-CL82)*1200)&gt;0,(Input_Raw[[#This Row],[33 kV_Wind_F2_Export_reading]]-CL82)*1200,0)</f>
        <v>69600</v>
      </c>
      <c r="CU83" s="105">
        <f>IF(((Input_Raw[[#This Row],[33 kV_Wind_F2_Import_reading]]-CM82)*1200)&gt;0,(Input_Raw[[#This Row],[33 kV_Wind_F2_Import_reading]]-CM82)*1200,0)</f>
        <v>0</v>
      </c>
      <c r="CV83" s="105">
        <f>IF(((Input_Raw[[#This Row],[33 kV_Wind_F3_Export_Reading]]-CN82)*1200)&gt;0,(Input_Raw[[#This Row],[33 kV_Wind_F3_Export_Reading]]-CN82)*1200,0)</f>
        <v>69600</v>
      </c>
      <c r="CW83" s="105">
        <f>IF(((Input_Raw[[#This Row],[33 kV_Wind_F3_Import_Reading]]-CO82)*1200)&gt;0,(Input_Raw[[#This Row],[33 kV_Wind_F3_Import_Reading]]-CO82)*1200,0)</f>
        <v>0</v>
      </c>
      <c r="CX83" s="105">
        <f>IF(((Input_Raw[[#This Row],[33 kV_Wind_F4_Export Reading]]-CP82)*1200)&gt;0,(Input_Raw[[#This Row],[33 kV_Wind_F4_Export Reading]]-CP82)*1200,0)</f>
        <v>73200</v>
      </c>
      <c r="CY83" s="105">
        <f>IF(((Input_Raw[[#This Row],[33 kV_Wind_F4_Import Reading]]-CQ82)*1200)&gt;0,(Input_Raw[[#This Row],[33 kV_Wind_F4_Import Reading]]-CQ82)*1200,0)</f>
        <v>0</v>
      </c>
      <c r="CZ83" s="105">
        <f>Input_Raw[[#This Row],[33 kV_F1_Total_Export (KWh)]]+Input_Raw[[#This Row],[33 kV_F2_Total_Export (KWh)2]]+Input_Raw[[#This Row],[33 kV_Wind_F3_Export (KWh)]]+Input_Raw[[#This Row],[33 kV_Wind_F4_Export (KWh)]]</f>
        <v>284400</v>
      </c>
      <c r="DA83" s="105">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16">
        <v>96</v>
      </c>
      <c r="DD83" s="187">
        <v>7611</v>
      </c>
      <c r="DE83" s="118">
        <v>287.89999999999998</v>
      </c>
      <c r="DF83" s="115"/>
      <c r="DG83" s="117">
        <v>78</v>
      </c>
      <c r="DH83" s="184"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103">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105">
        <f>IF(((Input_Raw[[#This Row],[33 kV_Wind_F1_Export reading]]-CJ83)*1200)&gt;0,(Input_Raw[[#This Row],[33 kV_Wind_F1_Export reading]]-CJ83)*1200,0)</f>
        <v>205200</v>
      </c>
      <c r="CS84" s="105">
        <f>IF(((Input_Raw[[#This Row],[33 kV_Wind_F1_Import reading]]-CK83)*1200)&gt;0,(Input_Raw[[#This Row],[33 kV_Wind_F1_Import reading]]-CK83)*1200,0)</f>
        <v>0</v>
      </c>
      <c r="CT84" s="105">
        <f>IF(((Input_Raw[[#This Row],[33 kV_Wind_F2_Export_reading]]-CL83)*1200)&gt;0,(Input_Raw[[#This Row],[33 kV_Wind_F2_Export_reading]]-CL83)*1200,0)</f>
        <v>163200</v>
      </c>
      <c r="CU84" s="105">
        <f>IF(((Input_Raw[[#This Row],[33 kV_Wind_F2_Import_reading]]-CM83)*1200)&gt;0,(Input_Raw[[#This Row],[33 kV_Wind_F2_Import_reading]]-CM83)*1200,0)</f>
        <v>0</v>
      </c>
      <c r="CV84" s="105">
        <f>IF(((Input_Raw[[#This Row],[33 kV_Wind_F3_Export_Reading]]-CN83)*1200)&gt;0,(Input_Raw[[#This Row],[33 kV_Wind_F3_Export_Reading]]-CN83)*1200,0)</f>
        <v>216000</v>
      </c>
      <c r="CW84" s="105">
        <f>IF(((Input_Raw[[#This Row],[33 kV_Wind_F3_Import_Reading]]-CO83)*1200)&gt;0,(Input_Raw[[#This Row],[33 kV_Wind_F3_Import_Reading]]-CO83)*1200,0)</f>
        <v>0</v>
      </c>
      <c r="CX84" s="105">
        <f>IF(((Input_Raw[[#This Row],[33 kV_Wind_F4_Export Reading]]-CP83)*1200)&gt;0,(Input_Raw[[#This Row],[33 kV_Wind_F4_Export Reading]]-CP83)*1200,0)</f>
        <v>211200</v>
      </c>
      <c r="CY84" s="105">
        <f>IF(((Input_Raw[[#This Row],[33 kV_Wind_F4_Import Reading]]-CQ83)*1200)&gt;0,(Input_Raw[[#This Row],[33 kV_Wind_F4_Import Reading]]-CQ83)*1200,0)</f>
        <v>0</v>
      </c>
      <c r="CZ84" s="105">
        <f>Input_Raw[[#This Row],[33 kV_F1_Total_Export (KWh)]]+Input_Raw[[#This Row],[33 kV_F2_Total_Export (KWh)2]]+Input_Raw[[#This Row],[33 kV_Wind_F3_Export (KWh)]]+Input_Raw[[#This Row],[33 kV_Wind_F4_Export (KWh)]]</f>
        <v>795600</v>
      </c>
      <c r="DA84" s="105">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16">
        <v>96</v>
      </c>
      <c r="DD84" s="339">
        <v>307215</v>
      </c>
      <c r="DE84" s="118">
        <v>799.17</v>
      </c>
      <c r="DF84" s="115"/>
      <c r="DG84" s="117">
        <v>78</v>
      </c>
      <c r="DH84" s="184"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103">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105">
        <f>IF(((Input_Raw[[#This Row],[33 kV_Wind_F1_Export reading]]-CJ84)*1200)&gt;0,(Input_Raw[[#This Row],[33 kV_Wind_F1_Export reading]]-CJ84)*1200,0)</f>
        <v>242400</v>
      </c>
      <c r="CS85" s="105">
        <f>IF(((Input_Raw[[#This Row],[33 kV_Wind_F1_Import reading]]-CK84)*1200)&gt;0,(Input_Raw[[#This Row],[33 kV_Wind_F1_Import reading]]-CK84)*1200,0)</f>
        <v>0</v>
      </c>
      <c r="CT85" s="105">
        <f>IF(((Input_Raw[[#This Row],[33 kV_Wind_F2_Export_reading]]-CL84)*1200)&gt;0,(Input_Raw[[#This Row],[33 kV_Wind_F2_Export_reading]]-CL84)*1200,0)</f>
        <v>180000</v>
      </c>
      <c r="CU85" s="105">
        <f>IF(((Input_Raw[[#This Row],[33 kV_Wind_F2_Import_reading]]-CM84)*1200)&gt;0,(Input_Raw[[#This Row],[33 kV_Wind_F2_Import_reading]]-CM84)*1200,0)</f>
        <v>0</v>
      </c>
      <c r="CV85" s="105">
        <f>IF(((Input_Raw[[#This Row],[33 kV_Wind_F3_Export_Reading]]-CN84)*1200)&gt;0,(Input_Raw[[#This Row],[33 kV_Wind_F3_Export_Reading]]-CN84)*1200,0)</f>
        <v>238800</v>
      </c>
      <c r="CW85" s="105">
        <f>IF(((Input_Raw[[#This Row],[33 kV_Wind_F3_Import_Reading]]-CO84)*1200)&gt;0,(Input_Raw[[#This Row],[33 kV_Wind_F3_Import_Reading]]-CO84)*1200,0)</f>
        <v>0</v>
      </c>
      <c r="CX85" s="105">
        <f>IF(((Input_Raw[[#This Row],[33 kV_Wind_F4_Export Reading]]-CP84)*1200)&gt;0,(Input_Raw[[#This Row],[33 kV_Wind_F4_Export Reading]]-CP84)*1200,0)</f>
        <v>235200</v>
      </c>
      <c r="CY85" s="105">
        <f>IF(((Input_Raw[[#This Row],[33 kV_Wind_F4_Import Reading]]-CQ84)*1200)&gt;0,(Input_Raw[[#This Row],[33 kV_Wind_F4_Import Reading]]-CQ84)*1200,0)</f>
        <v>0</v>
      </c>
      <c r="CZ85" s="105">
        <f>Input_Raw[[#This Row],[33 kV_F1_Total_Export (KWh)]]+Input_Raw[[#This Row],[33 kV_F2_Total_Export (KWh)2]]+Input_Raw[[#This Row],[33 kV_Wind_F3_Export (KWh)]]+Input_Raw[[#This Row],[33 kV_Wind_F4_Export (KWh)]]</f>
        <v>896400</v>
      </c>
      <c r="DA85" s="105">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16">
        <v>96</v>
      </c>
      <c r="DD85" s="116">
        <v>347383</v>
      </c>
      <c r="DE85" s="118">
        <v>900.13</v>
      </c>
      <c r="DF85" s="115"/>
      <c r="DG85" s="117">
        <v>78</v>
      </c>
      <c r="DH85" s="184"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103">
        <v>10.77</v>
      </c>
      <c r="BB86" s="103">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105">
        <f>IF(((Input_Raw[[#This Row],[33 kV_Wind_F1_Export reading]]-CJ85)*1200)&gt;0,(Input_Raw[[#This Row],[33 kV_Wind_F1_Export reading]]-CJ85)*1200,0)</f>
        <v>254400</v>
      </c>
      <c r="CS86" s="105">
        <f>IF(((Input_Raw[[#This Row],[33 kV_Wind_F1_Import reading]]-CK85)*1200)&gt;0,(Input_Raw[[#This Row],[33 kV_Wind_F1_Import reading]]-CK85)*1200,0)</f>
        <v>0</v>
      </c>
      <c r="CT86" s="105">
        <f>IF(((Input_Raw[[#This Row],[33 kV_Wind_F2_Export_reading]]-CL85)*1200)&gt;0,(Input_Raw[[#This Row],[33 kV_Wind_F2_Export_reading]]-CL85)*1200,0)</f>
        <v>224400</v>
      </c>
      <c r="CU86" s="105">
        <f>IF(((Input_Raw[[#This Row],[33 kV_Wind_F2_Import_reading]]-CM85)*1200)&gt;0,(Input_Raw[[#This Row],[33 kV_Wind_F2_Import_reading]]-CM85)*1200,0)</f>
        <v>0</v>
      </c>
      <c r="CV86" s="105">
        <f>IF(((Input_Raw[[#This Row],[33 kV_Wind_F3_Export_Reading]]-CN85)*1200)&gt;0,(Input_Raw[[#This Row],[33 kV_Wind_F3_Export_Reading]]-CN85)*1200,0)</f>
        <v>276000</v>
      </c>
      <c r="CW86" s="105">
        <f>IF(((Input_Raw[[#This Row],[33 kV_Wind_F3_Import_Reading]]-CO85)*1200)&gt;0,(Input_Raw[[#This Row],[33 kV_Wind_F3_Import_Reading]]-CO85)*1200,0)</f>
        <v>0</v>
      </c>
      <c r="CX86" s="105">
        <f>IF(((Input_Raw[[#This Row],[33 kV_Wind_F4_Export Reading]]-CP85)*1200)&gt;0,(Input_Raw[[#This Row],[33 kV_Wind_F4_Export Reading]]-CP85)*1200,0)</f>
        <v>278400</v>
      </c>
      <c r="CY86" s="105">
        <f>IF(((Input_Raw[[#This Row],[33 kV_Wind_F4_Import Reading]]-CQ85)*1200)&gt;0,(Input_Raw[[#This Row],[33 kV_Wind_F4_Import Reading]]-CQ85)*1200,0)</f>
        <v>0</v>
      </c>
      <c r="CZ86" s="105">
        <f>Input_Raw[[#This Row],[33 kV_F1_Total_Export (KWh)]]+Input_Raw[[#This Row],[33 kV_F2_Total_Export (KWh)2]]+Input_Raw[[#This Row],[33 kV_Wind_F3_Export (KWh)]]+Input_Raw[[#This Row],[33 kV_Wind_F4_Export (KWh)]]</f>
        <v>1033200</v>
      </c>
      <c r="DA86" s="105">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16">
        <v>96</v>
      </c>
      <c r="DD86" s="116">
        <v>385829</v>
      </c>
      <c r="DE86" s="118">
        <v>1036.6400000000001</v>
      </c>
      <c r="DF86" s="115"/>
      <c r="DG86" s="117">
        <v>78</v>
      </c>
      <c r="DH86" s="184"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105">
        <f>IF(((Input_Raw[[#This Row],[33 kV_Wind_F1_Export reading]]-CJ86)*1200)&gt;0,(Input_Raw[[#This Row],[33 kV_Wind_F1_Export reading]]-CJ86)*1200,0)</f>
        <v>219600</v>
      </c>
      <c r="CS87" s="105">
        <f>IF(((Input_Raw[[#This Row],[33 kV_Wind_F1_Import reading]]-CK86)*1200)&gt;0,(Input_Raw[[#This Row],[33 kV_Wind_F1_Import reading]]-CK86)*1200,0)</f>
        <v>0</v>
      </c>
      <c r="CT87" s="105">
        <f>IF(((Input_Raw[[#This Row],[33 kV_Wind_F2_Export_reading]]-CL86)*1200)&gt;0,(Input_Raw[[#This Row],[33 kV_Wind_F2_Export_reading]]-CL86)*1200,0)</f>
        <v>199200</v>
      </c>
      <c r="CU87" s="105">
        <f>IF(((Input_Raw[[#This Row],[33 kV_Wind_F2_Import_reading]]-CM86)*1200)&gt;0,(Input_Raw[[#This Row],[33 kV_Wind_F2_Import_reading]]-CM86)*1200,0)</f>
        <v>0</v>
      </c>
      <c r="CV87" s="105">
        <f>IF(((Input_Raw[[#This Row],[33 kV_Wind_F3_Export_Reading]]-CN86)*1200)&gt;0,(Input_Raw[[#This Row],[33 kV_Wind_F3_Export_Reading]]-CN86)*1200,0)</f>
        <v>244800</v>
      </c>
      <c r="CW87" s="105">
        <f>IF(((Input_Raw[[#This Row],[33 kV_Wind_F3_Import_Reading]]-CO86)*1200)&gt;0,(Input_Raw[[#This Row],[33 kV_Wind_F3_Import_Reading]]-CO86)*1200,0)</f>
        <v>0</v>
      </c>
      <c r="CX87" s="105">
        <f>IF(((Input_Raw[[#This Row],[33 kV_Wind_F4_Export Reading]]-CP86)*1200)&gt;0,(Input_Raw[[#This Row],[33 kV_Wind_F4_Export Reading]]-CP86)*1200,0)</f>
        <v>255600</v>
      </c>
      <c r="CY87" s="105">
        <f>IF(((Input_Raw[[#This Row],[33 kV_Wind_F4_Import Reading]]-CQ86)*1200)&gt;0,(Input_Raw[[#This Row],[33 kV_Wind_F4_Import Reading]]-CQ86)*1200,0)</f>
        <v>0</v>
      </c>
      <c r="CZ87" s="105">
        <f>Input_Raw[[#This Row],[33 kV_F1_Total_Export (KWh)]]+Input_Raw[[#This Row],[33 kV_F2_Total_Export (KWh)2]]+Input_Raw[[#This Row],[33 kV_Wind_F3_Export (KWh)]]+Input_Raw[[#This Row],[33 kV_Wind_F4_Export (KWh)]]</f>
        <v>919200</v>
      </c>
      <c r="DA87" s="105">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16">
        <v>96</v>
      </c>
      <c r="DD87" s="116">
        <v>389661</v>
      </c>
      <c r="DE87" s="118">
        <v>922.04</v>
      </c>
      <c r="DF87" s="115"/>
      <c r="DG87" s="117">
        <v>78</v>
      </c>
      <c r="DH87" s="184"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105">
        <f>IF(((Input_Raw[[#This Row],[33 kV_Wind_F1_Export reading]]-CJ87)*1200)&gt;0,(Input_Raw[[#This Row],[33 kV_Wind_F1_Export reading]]-CJ87)*1200,0)</f>
        <v>267600</v>
      </c>
      <c r="CS88" s="105">
        <f>IF(((Input_Raw[[#This Row],[33 kV_Wind_F1_Import reading]]-CK87)*1200)&gt;0,(Input_Raw[[#This Row],[33 kV_Wind_F1_Import reading]]-CK87)*1200,0)</f>
        <v>0</v>
      </c>
      <c r="CT88" s="105">
        <f>IF(((Input_Raw[[#This Row],[33 kV_Wind_F2_Export_reading]]-CL87)*1200)&gt;0,(Input_Raw[[#This Row],[33 kV_Wind_F2_Export_reading]]-CL87)*1200,0)</f>
        <v>229200</v>
      </c>
      <c r="CU88" s="105">
        <f>IF(((Input_Raw[[#This Row],[33 kV_Wind_F2_Import_reading]]-CM87)*1200)&gt;0,(Input_Raw[[#This Row],[33 kV_Wind_F2_Import_reading]]-CM87)*1200,0)</f>
        <v>0</v>
      </c>
      <c r="CV88" s="105">
        <f>IF(((Input_Raw[[#This Row],[33 kV_Wind_F3_Export_Reading]]-CN87)*1200)&gt;0,(Input_Raw[[#This Row],[33 kV_Wind_F3_Export_Reading]]-CN87)*1200,0)</f>
        <v>253200</v>
      </c>
      <c r="CW88" s="105">
        <f>IF(((Input_Raw[[#This Row],[33 kV_Wind_F3_Import_Reading]]-CO87)*1200)&gt;0,(Input_Raw[[#This Row],[33 kV_Wind_F3_Import_Reading]]-CO87)*1200,0)</f>
        <v>0</v>
      </c>
      <c r="CX88" s="105">
        <f>IF(((Input_Raw[[#This Row],[33 kV_Wind_F4_Export Reading]]-CP87)*1200)&gt;0,(Input_Raw[[#This Row],[33 kV_Wind_F4_Export Reading]]-CP87)*1200,0)</f>
        <v>274800</v>
      </c>
      <c r="CY88" s="105">
        <f>IF(((Input_Raw[[#This Row],[33 kV_Wind_F4_Import Reading]]-CQ87)*1200)&gt;0,(Input_Raw[[#This Row],[33 kV_Wind_F4_Import Reading]]-CQ87)*1200,0)</f>
        <v>0</v>
      </c>
      <c r="CZ88" s="105">
        <f>Input_Raw[[#This Row],[33 kV_F1_Total_Export (KWh)]]+Input_Raw[[#This Row],[33 kV_F2_Total_Export (KWh)2]]+Input_Raw[[#This Row],[33 kV_Wind_F3_Export (KWh)]]+Input_Raw[[#This Row],[33 kV_Wind_F4_Export (KWh)]]</f>
        <v>1024800</v>
      </c>
      <c r="DA88" s="105">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16">
        <v>95</v>
      </c>
      <c r="DD88" s="116">
        <v>424174</v>
      </c>
      <c r="DE88" s="118">
        <v>1027.75</v>
      </c>
      <c r="DF88" s="115"/>
      <c r="DG88" s="117">
        <v>78</v>
      </c>
      <c r="DH88" s="115"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105">
        <f>IF(((Input_Raw[[#This Row],[33 kV_Wind_F1_Export reading]]-CJ88)*1200)&gt;0,(Input_Raw[[#This Row],[33 kV_Wind_F1_Export reading]]-CJ88)*1200,0)</f>
        <v>243600</v>
      </c>
      <c r="CS89" s="105">
        <f>IF(((Input_Raw[[#This Row],[33 kV_Wind_F1_Import reading]]-CK88)*1200)&gt;0,(Input_Raw[[#This Row],[33 kV_Wind_F1_Import reading]]-CK88)*1200,0)</f>
        <v>0</v>
      </c>
      <c r="CT89" s="105">
        <f>IF(((Input_Raw[[#This Row],[33 kV_Wind_F2_Export_reading]]-CL88)*1200)&gt;0,(Input_Raw[[#This Row],[33 kV_Wind_F2_Export_reading]]-CL88)*1200,0)</f>
        <v>202800</v>
      </c>
      <c r="CU89" s="105">
        <f>IF(((Input_Raw[[#This Row],[33 kV_Wind_F2_Import_reading]]-CM88)*1200)&gt;0,(Input_Raw[[#This Row],[33 kV_Wind_F2_Import_reading]]-CM88)*1200,0)</f>
        <v>0</v>
      </c>
      <c r="CV89" s="105">
        <f>IF(((Input_Raw[[#This Row],[33 kV_Wind_F3_Export_Reading]]-CN88)*1200)&gt;0,(Input_Raw[[#This Row],[33 kV_Wind_F3_Export_Reading]]-CN88)*1200,0)</f>
        <v>242400</v>
      </c>
      <c r="CW89" s="105">
        <f>IF(((Input_Raw[[#This Row],[33 kV_Wind_F3_Import_Reading]]-CO88)*1200)&gt;0,(Input_Raw[[#This Row],[33 kV_Wind_F3_Import_Reading]]-CO88)*1200,0)</f>
        <v>0</v>
      </c>
      <c r="CX89" s="105">
        <f>IF(((Input_Raw[[#This Row],[33 kV_Wind_F4_Export Reading]]-CP88)*1200)&gt;0,(Input_Raw[[#This Row],[33 kV_Wind_F4_Export Reading]]-CP88)*1200,0)</f>
        <v>258000</v>
      </c>
      <c r="CY89" s="188"/>
      <c r="CZ89" s="188">
        <f>Input_Raw[[#This Row],[33 kV_F1_Total_Export (KWh)]]+Input_Raw[[#This Row],[33 kV_F2_Total_Export (KWh)2]]+Input_Raw[[#This Row],[33 kV_Wind_F3_Export (KWh)]]+Input_Raw[[#This Row],[33 kV_Wind_F4_Export (KWh)]]</f>
        <v>946800</v>
      </c>
      <c r="DA89" s="188">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16">
        <v>96</v>
      </c>
      <c r="DD89" s="116">
        <v>395248</v>
      </c>
      <c r="DE89" s="118">
        <v>949.75</v>
      </c>
      <c r="DF89" s="115"/>
      <c r="DG89" s="117">
        <v>78</v>
      </c>
      <c r="DH89" s="115"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105">
        <f>IF(((Input_Raw[[#This Row],[33 kV_Wind_F1_Export reading]]-CJ89)*1200)&gt;0,(Input_Raw[[#This Row],[33 kV_Wind_F1_Export reading]]-CJ89)*1200,0)</f>
        <v>219600</v>
      </c>
      <c r="CS90" s="105">
        <f>IF(((Input_Raw[[#This Row],[33 kV_Wind_F1_Import reading]]-CK89)*1200)&gt;0,(Input_Raw[[#This Row],[33 kV_Wind_F1_Import reading]]-CK89)*1200,0)</f>
        <v>0</v>
      </c>
      <c r="CT90" s="105">
        <f>IF(((Input_Raw[[#This Row],[33 kV_Wind_F2_Export_reading]]-CL89)*1200)&gt;0,(Input_Raw[[#This Row],[33 kV_Wind_F2_Export_reading]]-CL89)*1200,0)</f>
        <v>200400</v>
      </c>
      <c r="CU90" s="105">
        <f>IF(((Input_Raw[[#This Row],[33 kV_Wind_F2_Import_reading]]-CM89)*1200)&gt;0,(Input_Raw[[#This Row],[33 kV_Wind_F2_Import_reading]]-CM89)*1200,0)</f>
        <v>0</v>
      </c>
      <c r="CV90" s="105">
        <f>IF(((Input_Raw[[#This Row],[33 kV_Wind_F3_Export_Reading]]-CN89)*1200)&gt;0,(Input_Raw[[#This Row],[33 kV_Wind_F3_Export_Reading]]-CN89)*1200,0)</f>
        <v>244800</v>
      </c>
      <c r="CW90" s="105">
        <f>IF(((Input_Raw[[#This Row],[33 kV_Wind_F3_Import_Reading]]-CO89)*1200)&gt;0,(Input_Raw[[#This Row],[33 kV_Wind_F3_Import_Reading]]-CO89)*1200,0)</f>
        <v>0</v>
      </c>
      <c r="CX90" s="105">
        <f>IF(((Input_Raw[[#This Row],[33 kV_Wind_F4_Export Reading]]-CP89)*1200)&gt;0,(Input_Raw[[#This Row],[33 kV_Wind_F4_Export Reading]]-CP89)*1200,0)</f>
        <v>250800</v>
      </c>
      <c r="CY90" s="188"/>
      <c r="CZ90" s="188">
        <f>Input_Raw[[#This Row],[33 kV_F1_Total_Export (KWh)]]+Input_Raw[[#This Row],[33 kV_F2_Total_Export (KWh)2]]+Input_Raw[[#This Row],[33 kV_Wind_F3_Export (KWh)]]+Input_Raw[[#This Row],[33 kV_Wind_F4_Export (KWh)]]</f>
        <v>915600</v>
      </c>
      <c r="DA90" s="188">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16">
        <v>96</v>
      </c>
      <c r="DD90" s="116">
        <v>409644</v>
      </c>
      <c r="DE90" s="118">
        <v>918.69</v>
      </c>
      <c r="DF90" s="115"/>
      <c r="DG90" s="117">
        <v>78</v>
      </c>
      <c r="DH90" s="115"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105">
        <f>IF(((Input_Raw[[#This Row],[33 kV_Wind_F1_Export reading]]-CJ90)*1200)&gt;0,(Input_Raw[[#This Row],[33 kV_Wind_F1_Export reading]]-CJ90)*1200,0)</f>
        <v>291600</v>
      </c>
      <c r="CS91" s="105">
        <f>IF(((Input_Raw[[#This Row],[33 kV_Wind_F1_Import reading]]-CK90)*1200)&gt;0,(Input_Raw[[#This Row],[33 kV_Wind_F1_Import reading]]-CK90)*1200,0)</f>
        <v>0</v>
      </c>
      <c r="CT91" s="105">
        <f>IF(((Input_Raw[[#This Row],[33 kV_Wind_F2_Export_reading]]-CL90)*1200)&gt;0,(Input_Raw[[#This Row],[33 kV_Wind_F2_Export_reading]]-CL90)*1200,0)</f>
        <v>246000</v>
      </c>
      <c r="CU91" s="105">
        <f>IF(((Input_Raw[[#This Row],[33 kV_Wind_F2_Import_reading]]-CM90)*1200)&gt;0,(Input_Raw[[#This Row],[33 kV_Wind_F2_Import_reading]]-CM90)*1200,0)</f>
        <v>0</v>
      </c>
      <c r="CV91" s="105">
        <f>IF(((Input_Raw[[#This Row],[33 kV_Wind_F3_Export_Reading]]-CN90)*1200)&gt;0,(Input_Raw[[#This Row],[33 kV_Wind_F3_Export_Reading]]-CN90)*1200,0)</f>
        <v>290400</v>
      </c>
      <c r="CW91" s="105">
        <f>IF(((Input_Raw[[#This Row],[33 kV_Wind_F3_Import_Reading]]-CO90)*1200)&gt;0,(Input_Raw[[#This Row],[33 kV_Wind_F3_Import_Reading]]-CO90)*1200,0)</f>
        <v>0</v>
      </c>
      <c r="CX91" s="105">
        <f>IF(((Input_Raw[[#This Row],[33 kV_Wind_F4_Export Reading]]-CP90)*1200)&gt;0,(Input_Raw[[#This Row],[33 kV_Wind_F4_Export Reading]]-CP90)*1200,0)</f>
        <v>274800</v>
      </c>
      <c r="CY91" s="188"/>
      <c r="CZ91" s="188">
        <f>Input_Raw[[#This Row],[33 kV_F1_Total_Export (KWh)]]+Input_Raw[[#This Row],[33 kV_F2_Total_Export (KWh)2]]+Input_Raw[[#This Row],[33 kV_Wind_F3_Export (KWh)]]+Input_Raw[[#This Row],[33 kV_Wind_F4_Export (KWh)]]</f>
        <v>1102800</v>
      </c>
      <c r="DA91" s="188">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16">
        <v>96</v>
      </c>
      <c r="DD91" s="116">
        <v>465575</v>
      </c>
      <c r="DE91" s="118">
        <v>1106.03</v>
      </c>
      <c r="DF91" s="115"/>
      <c r="DG91" s="117">
        <v>78</v>
      </c>
      <c r="DH91" s="115"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103">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105">
        <f>IF(((Input_Raw[[#This Row],[33 kV_Wind_F1_Export reading]]-CJ91)*1200)&gt;0,(Input_Raw[[#This Row],[33 kV_Wind_F1_Export reading]]-CJ91)*1200,0)</f>
        <v>288000</v>
      </c>
      <c r="CS92" s="105">
        <f>IF(((Input_Raw[[#This Row],[33 kV_Wind_F1_Import reading]]-CK91)*1200)&gt;0,(Input_Raw[[#This Row],[33 kV_Wind_F1_Import reading]]-CK91)*1200,0)</f>
        <v>0</v>
      </c>
      <c r="CT92" s="105">
        <f>IF(((Input_Raw[[#This Row],[33 kV_Wind_F2_Export_reading]]-CL91)*1200)&gt;0,(Input_Raw[[#This Row],[33 kV_Wind_F2_Export_reading]]-CL91)*1200,0)</f>
        <v>228000</v>
      </c>
      <c r="CU92" s="105">
        <f>IF(((Input_Raw[[#This Row],[33 kV_Wind_F2_Import_reading]]-CM91)*1200)&gt;0,(Input_Raw[[#This Row],[33 kV_Wind_F2_Import_reading]]-CM91)*1200,0)</f>
        <v>0</v>
      </c>
      <c r="CV92" s="105">
        <f>IF(((Input_Raw[[#This Row],[33 kV_Wind_F3_Export_Reading]]-CN91)*1200)&gt;0,(Input_Raw[[#This Row],[33 kV_Wind_F3_Export_Reading]]-CN91)*1200,0)</f>
        <v>277200</v>
      </c>
      <c r="CW92" s="105">
        <f>IF(((Input_Raw[[#This Row],[33 kV_Wind_F3_Import_Reading]]-CO91)*1200)&gt;0,(Input_Raw[[#This Row],[33 kV_Wind_F3_Import_Reading]]-CO91)*1200,0)</f>
        <v>0</v>
      </c>
      <c r="CX92" s="105">
        <f>IF(((Input_Raw[[#This Row],[33 kV_Wind_F4_Export Reading]]-CP91)*1200)&gt;0,(Input_Raw[[#This Row],[33 kV_Wind_F4_Export Reading]]-CP91)*1200,0)</f>
        <v>273600</v>
      </c>
      <c r="CY92" s="188"/>
      <c r="CZ92" s="188">
        <f>Input_Raw[[#This Row],[33 kV_F1_Total_Export (KWh)]]+Input_Raw[[#This Row],[33 kV_F2_Total_Export (KWh)2]]+Input_Raw[[#This Row],[33 kV_Wind_F3_Export (KWh)]]+Input_Raw[[#This Row],[33 kV_Wind_F4_Export (KWh)]]</f>
        <v>1066800</v>
      </c>
      <c r="DA92" s="188">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16">
        <v>0</v>
      </c>
      <c r="DD92" s="116">
        <v>0</v>
      </c>
      <c r="DE92" s="118">
        <v>1069.9000000000001</v>
      </c>
      <c r="DF92" s="115"/>
      <c r="DG92" s="117">
        <v>78</v>
      </c>
      <c r="DH92" s="184"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92">
        <v>15943</v>
      </c>
      <c r="AA93" s="392">
        <v>16231</v>
      </c>
      <c r="AB93" s="392">
        <v>15943</v>
      </c>
      <c r="AC93" s="392">
        <v>15900</v>
      </c>
      <c r="AD93" s="392">
        <v>15749</v>
      </c>
      <c r="AE93" s="392">
        <v>15840</v>
      </c>
      <c r="AF93" s="392">
        <v>15456</v>
      </c>
      <c r="AG93" s="392">
        <v>0</v>
      </c>
      <c r="AH93" s="392">
        <v>15453</v>
      </c>
      <c r="AI93" s="392">
        <v>0</v>
      </c>
      <c r="AJ93" s="15">
        <v>16745</v>
      </c>
      <c r="AK93" s="15">
        <v>16350</v>
      </c>
      <c r="AL93" s="15">
        <v>16817</v>
      </c>
      <c r="AM93" s="15">
        <v>16469</v>
      </c>
      <c r="AN93" s="15">
        <v>16743</v>
      </c>
      <c r="AO93" s="15">
        <v>16721</v>
      </c>
      <c r="AP93" s="15">
        <v>15521</v>
      </c>
      <c r="AQ93" s="15">
        <v>16332</v>
      </c>
      <c r="AR93" s="15">
        <v>16632</v>
      </c>
      <c r="AS93" s="103">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105">
        <f>IF(((Input_Raw[[#This Row],[33 kV_Wind_F1_Export reading]]-CJ92)*1200)&gt;0,(Input_Raw[[#This Row],[33 kV_Wind_F1_Export reading]]-CJ92)*1200,0)</f>
        <v>162000</v>
      </c>
      <c r="CS93" s="105">
        <f>IF(((Input_Raw[[#This Row],[33 kV_Wind_F1_Import reading]]-CK92)*1200)&gt;0,(Input_Raw[[#This Row],[33 kV_Wind_F1_Import reading]]-CK92)*1200,0)</f>
        <v>0</v>
      </c>
      <c r="CT93" s="105">
        <f>IF(((Input_Raw[[#This Row],[33 kV_Wind_F2_Export_reading]]-CL92)*1200)&gt;0,(Input_Raw[[#This Row],[33 kV_Wind_F2_Export_reading]]-CL92)*1200,0)</f>
        <v>130800</v>
      </c>
      <c r="CU93" s="105">
        <f>IF(((Input_Raw[[#This Row],[33 kV_Wind_F2_Import_reading]]-CM92)*1200)&gt;0,(Input_Raw[[#This Row],[33 kV_Wind_F2_Import_reading]]-CM92)*1200,0)</f>
        <v>0</v>
      </c>
      <c r="CV93" s="105">
        <f>IF(((Input_Raw[[#This Row],[33 kV_Wind_F3_Export_Reading]]-CN92)*1200)&gt;0,(Input_Raw[[#This Row],[33 kV_Wind_F3_Export_Reading]]-CN92)*1200,0)</f>
        <v>183600</v>
      </c>
      <c r="CW93" s="105">
        <f>IF(((Input_Raw[[#This Row],[33 kV_Wind_F3_Import_Reading]]-CO92)*1200)&gt;0,(Input_Raw[[#This Row],[33 kV_Wind_F3_Import_Reading]]-CO92)*1200,0)</f>
        <v>0</v>
      </c>
      <c r="CX93" s="105">
        <f>IF(((Input_Raw[[#This Row],[33 kV_Wind_F4_Export Reading]]-CP92)*1200)&gt;0,(Input_Raw[[#This Row],[33 kV_Wind_F4_Export Reading]]-CP92)*1200,0)</f>
        <v>190800</v>
      </c>
      <c r="CY93" s="188"/>
      <c r="CZ93" s="188">
        <f>Input_Raw[[#This Row],[33 kV_F1_Total_Export (KWh)]]+Input_Raw[[#This Row],[33 kV_F2_Total_Export (KWh)2]]+Input_Raw[[#This Row],[33 kV_Wind_F3_Export (KWh)]]+Input_Raw[[#This Row],[33 kV_Wind_F4_Export (KWh)]]</f>
        <v>667200</v>
      </c>
      <c r="DA93" s="188">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16">
        <v>0</v>
      </c>
      <c r="DD93" s="116">
        <v>0</v>
      </c>
      <c r="DE93" s="118">
        <v>676.61</v>
      </c>
      <c r="DF93" s="115"/>
      <c r="DG93" s="117">
        <v>78</v>
      </c>
      <c r="DH93" s="184"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92">
        <v>9027</v>
      </c>
      <c r="AA94" s="392">
        <v>9210</v>
      </c>
      <c r="AB94" s="392">
        <v>9319</v>
      </c>
      <c r="AC94" s="392">
        <v>9321</v>
      </c>
      <c r="AD94" s="392">
        <v>8230</v>
      </c>
      <c r="AE94" s="392">
        <v>9421</v>
      </c>
      <c r="AF94" s="392">
        <v>7945</v>
      </c>
      <c r="AG94" s="392">
        <v>0</v>
      </c>
      <c r="AH94" s="392">
        <v>9021</v>
      </c>
      <c r="AI94" s="392">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105">
        <f>IF(((Input_Raw[[#This Row],[33 kV_Wind_F1_Export reading]]-CJ93)*1200)&gt;0,(Input_Raw[[#This Row],[33 kV_Wind_F1_Export reading]]-CJ93)*1200,0)</f>
        <v>67200</v>
      </c>
      <c r="CS94" s="105">
        <f>IF(((Input_Raw[[#This Row],[33 kV_Wind_F1_Import reading]]-CK93)*1200)&gt;0,(Input_Raw[[#This Row],[33 kV_Wind_F1_Import reading]]-CK93)*1200,0)</f>
        <v>0</v>
      </c>
      <c r="CT94" s="105">
        <f>IF(((Input_Raw[[#This Row],[33 kV_Wind_F2_Export_reading]]-CL93)*1200)&gt;0,(Input_Raw[[#This Row],[33 kV_Wind_F2_Export_reading]]-CL93)*1200,0)</f>
        <v>72000</v>
      </c>
      <c r="CU94" s="105">
        <f>IF(((Input_Raw[[#This Row],[33 kV_Wind_F2_Import_reading]]-CM93)*1200)&gt;0,(Input_Raw[[#This Row],[33 kV_Wind_F2_Import_reading]]-CM93)*1200,0)</f>
        <v>0</v>
      </c>
      <c r="CV94" s="105">
        <f>IF(((Input_Raw[[#This Row],[33 kV_Wind_F3_Export_Reading]]-CN93)*1200)&gt;0,(Input_Raw[[#This Row],[33 kV_Wind_F3_Export_Reading]]-CN93)*1200,0)</f>
        <v>102000</v>
      </c>
      <c r="CW94" s="105">
        <f>IF(((Input_Raw[[#This Row],[33 kV_Wind_F3_Import_Reading]]-CO93)*1200)&gt;0,(Input_Raw[[#This Row],[33 kV_Wind_F3_Import_Reading]]-CO93)*1200,0)</f>
        <v>0</v>
      </c>
      <c r="CX94" s="105">
        <f>IF(((Input_Raw[[#This Row],[33 kV_Wind_F4_Export Reading]]-CP93)*1200)&gt;0,(Input_Raw[[#This Row],[33 kV_Wind_F4_Export Reading]]-CP93)*1200,0)</f>
        <v>121200</v>
      </c>
      <c r="CY94" s="188"/>
      <c r="CZ94" s="188">
        <f>Input_Raw[[#This Row],[33 kV_F1_Total_Export (KWh)]]+Input_Raw[[#This Row],[33 kV_F2_Total_Export (KWh)2]]+Input_Raw[[#This Row],[33 kV_Wind_F3_Export (KWh)]]+Input_Raw[[#This Row],[33 kV_Wind_F4_Export (KWh)]]</f>
        <v>362400</v>
      </c>
      <c r="DA94" s="188">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16">
        <v>0</v>
      </c>
      <c r="DD94" s="116">
        <v>0</v>
      </c>
      <c r="DE94" s="118">
        <v>365.82</v>
      </c>
      <c r="DF94" s="115"/>
      <c r="DG94" s="117">
        <v>78</v>
      </c>
      <c r="DH94" s="184"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92">
        <v>13731</v>
      </c>
      <c r="AA95" s="392">
        <v>13702</v>
      </c>
      <c r="AB95" s="392">
        <v>13636</v>
      </c>
      <c r="AC95" s="392">
        <v>13639</v>
      </c>
      <c r="AD95" s="392">
        <v>13590</v>
      </c>
      <c r="AE95" s="392">
        <v>13616</v>
      </c>
      <c r="AF95" s="392">
        <v>13651</v>
      </c>
      <c r="AG95" s="392">
        <v>0</v>
      </c>
      <c r="AH95" s="392">
        <v>13041</v>
      </c>
      <c r="AI95" s="392">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105">
        <f>IF(((Input_Raw[[#This Row],[33 kV_Wind_F1_Export reading]]-CJ94)*1200)&gt;0,(Input_Raw[[#This Row],[33 kV_Wind_F1_Export reading]]-CJ94)*1200,0)</f>
        <v>147600</v>
      </c>
      <c r="CS95" s="105">
        <f>IF(((Input_Raw[[#This Row],[33 kV_Wind_F1_Import reading]]-CK94)*1200)&gt;0,(Input_Raw[[#This Row],[33 kV_Wind_F1_Import reading]]-CK94)*1200,0)</f>
        <v>0</v>
      </c>
      <c r="CT95" s="105">
        <f>IF(((Input_Raw[[#This Row],[33 kV_Wind_F2_Export_reading]]-CL94)*1200)&gt;0,(Input_Raw[[#This Row],[33 kV_Wind_F2_Export_reading]]-CL94)*1200,0)</f>
        <v>114000</v>
      </c>
      <c r="CU95" s="105">
        <f>IF(((Input_Raw[[#This Row],[33 kV_Wind_F2_Import_reading]]-CM94)*1200)&gt;0,(Input_Raw[[#This Row],[33 kV_Wind_F2_Import_reading]]-CM94)*1200,0)</f>
        <v>0</v>
      </c>
      <c r="CV95" s="105">
        <f>IF(((Input_Raw[[#This Row],[33 kV_Wind_F3_Export_Reading]]-CN94)*1200)&gt;0,(Input_Raw[[#This Row],[33 kV_Wind_F3_Export_Reading]]-CN94)*1200,0)</f>
        <v>154800</v>
      </c>
      <c r="CW95" s="105">
        <f>IF(((Input_Raw[[#This Row],[33 kV_Wind_F3_Import_Reading]]-CO94)*1200)&gt;0,(Input_Raw[[#This Row],[33 kV_Wind_F3_Import_Reading]]-CO94)*1200,0)</f>
        <v>0</v>
      </c>
      <c r="CX95" s="105">
        <f>IF(((Input_Raw[[#This Row],[33 kV_Wind_F4_Export Reading]]-CP94)*1200)&gt;0,(Input_Raw[[#This Row],[33 kV_Wind_F4_Export Reading]]-CP94)*1200,0)</f>
        <v>178800</v>
      </c>
      <c r="CY95" s="188"/>
      <c r="CZ95" s="188">
        <f>Input_Raw[[#This Row],[33 kV_F1_Total_Export (KWh)]]+Input_Raw[[#This Row],[33 kV_F2_Total_Export (KWh)2]]+Input_Raw[[#This Row],[33 kV_Wind_F3_Export (KWh)]]+Input_Raw[[#This Row],[33 kV_Wind_F4_Export (KWh)]]</f>
        <v>595200</v>
      </c>
      <c r="DA95" s="188">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16">
        <v>1</v>
      </c>
      <c r="DD95" s="116">
        <v>4353</v>
      </c>
      <c r="DE95" s="118">
        <v>598.78</v>
      </c>
      <c r="DF95" s="115"/>
      <c r="DG95" s="117">
        <v>78</v>
      </c>
      <c r="DH95" s="184"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103">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105">
        <f>IF(((Input_Raw[[#This Row],[33 kV_Wind_F1_Export reading]]-CJ95)*1200)&gt;0,(Input_Raw[[#This Row],[33 kV_Wind_F1_Export reading]]-CJ95)*1200,0)</f>
        <v>224400</v>
      </c>
      <c r="CS96" s="105">
        <f>IF(((Input_Raw[[#This Row],[33 kV_Wind_F1_Import reading]]-CK95)*1200)&gt;0,(Input_Raw[[#This Row],[33 kV_Wind_F1_Import reading]]-CK95)*1200,0)</f>
        <v>0</v>
      </c>
      <c r="CT96" s="105">
        <f>IF(((Input_Raw[[#This Row],[33 kV_Wind_F2_Export_reading]]-CL95)*1200)&gt;0,(Input_Raw[[#This Row],[33 kV_Wind_F2_Export_reading]]-CL95)*1200,0)</f>
        <v>176400</v>
      </c>
      <c r="CU96" s="105">
        <f>IF(((Input_Raw[[#This Row],[33 kV_Wind_F2_Import_reading]]-CM95)*1200)&gt;0,(Input_Raw[[#This Row],[33 kV_Wind_F2_Import_reading]]-CM95)*1200,0)</f>
        <v>0</v>
      </c>
      <c r="CV96" s="105">
        <f>IF(((Input_Raw[[#This Row],[33 kV_Wind_F3_Export_Reading]]-CN95)*1200)&gt;0,(Input_Raw[[#This Row],[33 kV_Wind_F3_Export_Reading]]-CN95)*1200,0)</f>
        <v>210000</v>
      </c>
      <c r="CW96" s="105">
        <f>IF(((Input_Raw[[#This Row],[33 kV_Wind_F3_Import_Reading]]-CO95)*1200)&gt;0,(Input_Raw[[#This Row],[33 kV_Wind_F3_Import_Reading]]-CO95)*1200,0)</f>
        <v>0</v>
      </c>
      <c r="CX96" s="105">
        <f>IF(((Input_Raw[[#This Row],[33 kV_Wind_F4_Export Reading]]-CP95)*1200)&gt;0,(Input_Raw[[#This Row],[33 kV_Wind_F4_Export Reading]]-CP95)*1200,0)</f>
        <v>226800</v>
      </c>
      <c r="CY96" s="188"/>
      <c r="CZ96" s="188">
        <f>Input_Raw[[#This Row],[33 kV_F1_Total_Export (KWh)]]+Input_Raw[[#This Row],[33 kV_F2_Total_Export (KWh)2]]+Input_Raw[[#This Row],[33 kV_Wind_F3_Export (KWh)]]+Input_Raw[[#This Row],[33 kV_Wind_F4_Export (KWh)]]</f>
        <v>837600</v>
      </c>
      <c r="DA96" s="188">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16">
        <v>96</v>
      </c>
      <c r="DD96" s="116">
        <v>288903</v>
      </c>
      <c r="DE96" s="118">
        <v>840.11</v>
      </c>
      <c r="DF96" s="115"/>
      <c r="DG96" s="117">
        <v>78</v>
      </c>
      <c r="DH96" s="184"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105">
        <f>IF(((Input_Raw[[#This Row],[33 kV_Wind_F1_Export reading]]-CJ96)*1200)&gt;0,(Input_Raw[[#This Row],[33 kV_Wind_F1_Export reading]]-CJ96)*1200,0)</f>
        <v>294000</v>
      </c>
      <c r="CS97" s="105">
        <f>IF(((Input_Raw[[#This Row],[33 kV_Wind_F1_Import reading]]-CK96)*1200)&gt;0,(Input_Raw[[#This Row],[33 kV_Wind_F1_Import reading]]-CK96)*1200,0)</f>
        <v>0</v>
      </c>
      <c r="CT97" s="105">
        <f>IF(((Input_Raw[[#This Row],[33 kV_Wind_F2_Export_reading]]-CL96)*1200)&gt;0,(Input_Raw[[#This Row],[33 kV_Wind_F2_Export_reading]]-CL96)*1200,0)</f>
        <v>236400</v>
      </c>
      <c r="CU97" s="105">
        <f>IF(((Input_Raw[[#This Row],[33 kV_Wind_F2_Import_reading]]-CM96)*1200)&gt;0,(Input_Raw[[#This Row],[33 kV_Wind_F2_Import_reading]]-CM96)*1200,0)</f>
        <v>0</v>
      </c>
      <c r="CV97" s="105">
        <f>IF(((Input_Raw[[#This Row],[33 kV_Wind_F3_Export_Reading]]-CN96)*1200)&gt;0,(Input_Raw[[#This Row],[33 kV_Wind_F3_Export_Reading]]-CN96)*1200,0)</f>
        <v>279600</v>
      </c>
      <c r="CW97" s="105">
        <f>IF(((Input_Raw[[#This Row],[33 kV_Wind_F3_Import_Reading]]-CO96)*1200)&gt;0,(Input_Raw[[#This Row],[33 kV_Wind_F3_Import_Reading]]-CO96)*1200,0)</f>
        <v>0</v>
      </c>
      <c r="CX97" s="105">
        <f>IF(((Input_Raw[[#This Row],[33 kV_Wind_F4_Export Reading]]-CP96)*1200)&gt;0,(Input_Raw[[#This Row],[33 kV_Wind_F4_Export Reading]]-CP96)*1200,0)</f>
        <v>316800</v>
      </c>
      <c r="CY97" s="188"/>
      <c r="CZ97" s="188">
        <f>Input_Raw[[#This Row],[33 kV_F1_Total_Export (KWh)]]+Input_Raw[[#This Row],[33 kV_F2_Total_Export (KWh)2]]+Input_Raw[[#This Row],[33 kV_Wind_F3_Export (KWh)]]+Input_Raw[[#This Row],[33 kV_Wind_F4_Export (KWh)]]</f>
        <v>1126800</v>
      </c>
      <c r="DA97" s="188">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16">
        <v>96</v>
      </c>
      <c r="DD97" s="116">
        <v>503826</v>
      </c>
      <c r="DE97" s="118">
        <v>1130.55</v>
      </c>
      <c r="DF97" s="115"/>
      <c r="DG97" s="117">
        <v>78</v>
      </c>
      <c r="DH97" s="184"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102">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103">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105">
        <f>IF(((Input_Raw[[#This Row],[33 kV_Wind_F1_Export reading]]-CJ97)*1200)&gt;0,(Input_Raw[[#This Row],[33 kV_Wind_F1_Export reading]]-CJ97)*1200,0)</f>
        <v>184800</v>
      </c>
      <c r="CS98" s="105">
        <f>IF(((Input_Raw[[#This Row],[33 kV_Wind_F1_Import reading]]-CK97)*1200)&gt;0,(Input_Raw[[#This Row],[33 kV_Wind_F1_Import reading]]-CK97)*1200,0)</f>
        <v>0</v>
      </c>
      <c r="CT98" s="105">
        <f>IF(((Input_Raw[[#This Row],[33 kV_Wind_F2_Export_reading]]-CL97)*1200)&gt;0,(Input_Raw[[#This Row],[33 kV_Wind_F2_Export_reading]]-CL97)*1200,0)</f>
        <v>163200</v>
      </c>
      <c r="CU98" s="105">
        <f>IF(((Input_Raw[[#This Row],[33 kV_Wind_F2_Import_reading]]-CM97)*1200)&gt;0,(Input_Raw[[#This Row],[33 kV_Wind_F2_Import_reading]]-CM97)*1200,0)</f>
        <v>0</v>
      </c>
      <c r="CV98" s="105">
        <f>IF(((Input_Raw[[#This Row],[33 kV_Wind_F3_Export_Reading]]-CN97)*1200)&gt;0,(Input_Raw[[#This Row],[33 kV_Wind_F3_Export_Reading]]-CN97)*1200,0)</f>
        <v>214800</v>
      </c>
      <c r="CW98" s="105">
        <f>IF(((Input_Raw[[#This Row],[33 kV_Wind_F3_Import_Reading]]-CO97)*1200)&gt;0,(Input_Raw[[#This Row],[33 kV_Wind_F3_Import_Reading]]-CO97)*1200,0)</f>
        <v>0</v>
      </c>
      <c r="CX98" s="105">
        <f>IF(((Input_Raw[[#This Row],[33 kV_Wind_F4_Export Reading]]-CP97)*1200)&gt;0,(Input_Raw[[#This Row],[33 kV_Wind_F4_Export Reading]]-CP97)*1200,0)</f>
        <v>235200</v>
      </c>
      <c r="CY98" s="188"/>
      <c r="CZ98" s="188">
        <f>Input_Raw[[#This Row],[33 kV_F1_Total_Export (KWh)]]+Input_Raw[[#This Row],[33 kV_F2_Total_Export (KWh)2]]+Input_Raw[[#This Row],[33 kV_Wind_F3_Export (KWh)]]+Input_Raw[[#This Row],[33 kV_Wind_F4_Export (KWh)]]</f>
        <v>798000</v>
      </c>
      <c r="DA98" s="188">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16">
        <v>96</v>
      </c>
      <c r="DD98" s="116">
        <v>262228</v>
      </c>
      <c r="DE98" s="118">
        <v>801.43</v>
      </c>
      <c r="DF98" s="115"/>
      <c r="DG98" s="117">
        <v>78</v>
      </c>
      <c r="DH98" s="184"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105">
        <f>IF(((Input_Raw[[#This Row],[33 kV_Wind_F1_Export reading]]-CJ98)*1200)&gt;0,(Input_Raw[[#This Row],[33 kV_Wind_F1_Export reading]]-CJ98)*1200,0)</f>
        <v>190800</v>
      </c>
      <c r="CS99" s="105">
        <f>IF(((Input_Raw[[#This Row],[33 kV_Wind_F1_Import reading]]-CK98)*1200)&gt;0,(Input_Raw[[#This Row],[33 kV_Wind_F1_Import reading]]-CK98)*1200,0)</f>
        <v>0</v>
      </c>
      <c r="CT99" s="105">
        <f>IF(((Input_Raw[[#This Row],[33 kV_Wind_F2_Export_reading]]-CL98)*1200)&gt;0,(Input_Raw[[#This Row],[33 kV_Wind_F2_Export_reading]]-CL98)*1200,0)</f>
        <v>168000</v>
      </c>
      <c r="CU99" s="105">
        <f>IF(((Input_Raw[[#This Row],[33 kV_Wind_F2_Import_reading]]-CM98)*1200)&gt;0,(Input_Raw[[#This Row],[33 kV_Wind_F2_Import_reading]]-CM98)*1200,0)</f>
        <v>0</v>
      </c>
      <c r="CV99" s="105">
        <f>IF(((Input_Raw[[#This Row],[33 kV_Wind_F3_Export_Reading]]-CN98)*1200)&gt;0,(Input_Raw[[#This Row],[33 kV_Wind_F3_Export_Reading]]-CN98)*1200,0)</f>
        <v>214800</v>
      </c>
      <c r="CW99" s="105">
        <f>IF(((Input_Raw[[#This Row],[33 kV_Wind_F3_Import_Reading]]-CO98)*1200)&gt;0,(Input_Raw[[#This Row],[33 kV_Wind_F3_Import_Reading]]-CO98)*1200,0)</f>
        <v>0</v>
      </c>
      <c r="CX99" s="105">
        <f>IF(((Input_Raw[[#This Row],[33 kV_Wind_F4_Export Reading]]-CP98)*1200)&gt;0,(Input_Raw[[#This Row],[33 kV_Wind_F4_Export Reading]]-CP98)*1200,0)</f>
        <v>249600</v>
      </c>
      <c r="CY99" s="188"/>
      <c r="CZ99" s="188">
        <f>Input_Raw[[#This Row],[33 kV_F1_Total_Export (KWh)]]+Input_Raw[[#This Row],[33 kV_F2_Total_Export (KWh)2]]+Input_Raw[[#This Row],[33 kV_Wind_F3_Export (KWh)]]+Input_Raw[[#This Row],[33 kV_Wind_F4_Export (KWh)]]</f>
        <v>823200</v>
      </c>
      <c r="DA99" s="188">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16">
        <v>93</v>
      </c>
      <c r="DD99" s="116">
        <v>271409</v>
      </c>
      <c r="DE99" s="118">
        <v>826.51</v>
      </c>
      <c r="DF99" s="115"/>
      <c r="DG99" s="117">
        <v>78</v>
      </c>
      <c r="DH99" s="184"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105">
        <f>IF(((Input_Raw[[#This Row],[33 kV_Wind_F1_Export reading]]-CJ99)*1200)&gt;0,(Input_Raw[[#This Row],[33 kV_Wind_F1_Export reading]]-CJ99)*1200,0)</f>
        <v>162000</v>
      </c>
      <c r="CS100" s="105">
        <f>IF(((Input_Raw[[#This Row],[33 kV_Wind_F1_Import reading]]-CK99)*1200)&gt;0,(Input_Raw[[#This Row],[33 kV_Wind_F1_Import reading]]-CK99)*1200,0)</f>
        <v>0</v>
      </c>
      <c r="CT100" s="105">
        <f>IF(((Input_Raw[[#This Row],[33 kV_Wind_F2_Export_reading]]-CL99)*1200)&gt;0,(Input_Raw[[#This Row],[33 kV_Wind_F2_Export_reading]]-CL99)*1200,0)</f>
        <v>193200</v>
      </c>
      <c r="CU100" s="105">
        <f>IF(((Input_Raw[[#This Row],[33 kV_Wind_F2_Import_reading]]-CM99)*1200)&gt;0,(Input_Raw[[#This Row],[33 kV_Wind_F2_Import_reading]]-CM99)*1200,0)</f>
        <v>0</v>
      </c>
      <c r="CV100" s="105">
        <f>IF(((Input_Raw[[#This Row],[33 kV_Wind_F3_Export_Reading]]-CN99)*1200)&gt;0,(Input_Raw[[#This Row],[33 kV_Wind_F3_Export_Reading]]-CN99)*1200,0)</f>
        <v>192000</v>
      </c>
      <c r="CW100" s="105">
        <f>IF(((Input_Raw[[#This Row],[33 kV_Wind_F3_Import_Reading]]-CO99)*1200)&gt;0,(Input_Raw[[#This Row],[33 kV_Wind_F3_Import_Reading]]-CO99)*1200,0)</f>
        <v>0</v>
      </c>
      <c r="CX100" s="105">
        <f>IF(((Input_Raw[[#This Row],[33 kV_Wind_F4_Export Reading]]-CP99)*1200)&gt;0,(Input_Raw[[#This Row],[33 kV_Wind_F4_Export Reading]]-CP99)*1200,0)</f>
        <v>224400</v>
      </c>
      <c r="CY100" s="188"/>
      <c r="CZ100" s="188">
        <f>Input_Raw[[#This Row],[33 kV_F1_Total_Export (KWh)]]+Input_Raw[[#This Row],[33 kV_F2_Total_Export (KWh)2]]+Input_Raw[[#This Row],[33 kV_Wind_F3_Export (KWh)]]+Input_Raw[[#This Row],[33 kV_Wind_F4_Export (KWh)]]</f>
        <v>771600</v>
      </c>
      <c r="DA100" s="188">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16">
        <v>96</v>
      </c>
      <c r="DD100" s="116">
        <v>203118</v>
      </c>
      <c r="DE100" s="118">
        <f>Input_Raw[[#This Row],[WTG Total Gneration (KWh)]]/1000</f>
        <v>774.79499999999996</v>
      </c>
      <c r="DF100" s="115"/>
      <c r="DG100" s="117">
        <v>78</v>
      </c>
      <c r="DH100" s="184"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103">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105">
        <f>IF(((Input_Raw[[#This Row],[33 kV_Wind_F1_Export reading]]-CJ100)*1200)&gt;0,(Input_Raw[[#This Row],[33 kV_Wind_F1_Export reading]]-CJ100)*1200,0)</f>
        <v>289200</v>
      </c>
      <c r="CS101" s="105">
        <f>IF(((Input_Raw[[#This Row],[33 kV_Wind_F1_Import reading]]-CK100)*1200)&gt;0,(Input_Raw[[#This Row],[33 kV_Wind_F1_Import reading]]-CK100)*1200,0)</f>
        <v>0</v>
      </c>
      <c r="CT101" s="105">
        <f>IF(((Input_Raw[[#This Row],[33 kV_Wind_F2_Export_reading]]-CL100)*1200)&gt;0,(Input_Raw[[#This Row],[33 kV_Wind_F2_Export_reading]]-CL100)*1200,0)</f>
        <v>165600</v>
      </c>
      <c r="CU101" s="105">
        <f>IF(((Input_Raw[[#This Row],[33 kV_Wind_F2_Import_reading]]-CM100)*1200)&gt;0,(Input_Raw[[#This Row],[33 kV_Wind_F2_Import_reading]]-CM100)*1200,0)</f>
        <v>0</v>
      </c>
      <c r="CV101" s="105">
        <f>IF(((Input_Raw[[#This Row],[33 kV_Wind_F3_Export_Reading]]-CN100)*1200)&gt;0,(Input_Raw[[#This Row],[33 kV_Wind_F3_Export_Reading]]-CN100)*1200,0)</f>
        <v>248400</v>
      </c>
      <c r="CW101" s="105">
        <f>IF(((Input_Raw[[#This Row],[33 kV_Wind_F3_Import_Reading]]-CO100)*1200)&gt;0,(Input_Raw[[#This Row],[33 kV_Wind_F3_Import_Reading]]-CO100)*1200,0)</f>
        <v>0</v>
      </c>
      <c r="CX101" s="105">
        <f>IF(((Input_Raw[[#This Row],[33 kV_Wind_F4_Export Reading]]-CP100)*1200)&gt;0,(Input_Raw[[#This Row],[33 kV_Wind_F4_Export Reading]]-CP100)*1200,0)</f>
        <v>265200</v>
      </c>
      <c r="CY101" s="188"/>
      <c r="CZ101" s="188">
        <f>Input_Raw[[#This Row],[33 kV_F1_Total_Export (KWh)]]+Input_Raw[[#This Row],[33 kV_F2_Total_Export (KWh)2]]+Input_Raw[[#This Row],[33 kV_Wind_F3_Export (KWh)]]+Input_Raw[[#This Row],[33 kV_Wind_F4_Export (KWh)]]</f>
        <v>968400</v>
      </c>
      <c r="DA101" s="188">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16">
        <v>96</v>
      </c>
      <c r="DD101" s="116">
        <v>362922</v>
      </c>
      <c r="DE101" s="118">
        <f>Input_Raw[[#This Row],[WTG Total Gneration (KWh)]]/1000</f>
        <v>971.64300000000003</v>
      </c>
      <c r="DF101" s="115"/>
      <c r="DG101" s="117">
        <v>78</v>
      </c>
      <c r="DH101" s="184"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105">
        <f>IF(((Input_Raw[[#This Row],[33 kV_Wind_F1_Export reading]]-CJ101)*1200)&gt;0,(Input_Raw[[#This Row],[33 kV_Wind_F1_Export reading]]-CJ101)*1200,0)</f>
        <v>188400</v>
      </c>
      <c r="CS102" s="105">
        <f>IF(((Input_Raw[[#This Row],[33 kV_Wind_F1_Import reading]]-CK101)*1200)&gt;0,(Input_Raw[[#This Row],[33 kV_Wind_F1_Import reading]]-CK101)*1200,0)</f>
        <v>0</v>
      </c>
      <c r="CT102" s="105">
        <f>IF(((Input_Raw[[#This Row],[33 kV_Wind_F2_Export_reading]]-CL101)*1200)&gt;0,(Input_Raw[[#This Row],[33 kV_Wind_F2_Export_reading]]-CL101)*1200,0)</f>
        <v>171600</v>
      </c>
      <c r="CU102" s="105">
        <f>IF(((Input_Raw[[#This Row],[33 kV_Wind_F2_Import_reading]]-CM101)*1200)&gt;0,(Input_Raw[[#This Row],[33 kV_Wind_F2_Import_reading]]-CM101)*1200,0)</f>
        <v>0</v>
      </c>
      <c r="CV102" s="105">
        <f>IF(((Input_Raw[[#This Row],[33 kV_Wind_F3_Export_Reading]]-CN101)*1200)&gt;0,(Input_Raw[[#This Row],[33 kV_Wind_F3_Export_Reading]]-CN101)*1200,0)</f>
        <v>213600</v>
      </c>
      <c r="CW102" s="105">
        <f>IF(((Input_Raw[[#This Row],[33 kV_Wind_F3_Import_Reading]]-CO101)*1200)&gt;0,(Input_Raw[[#This Row],[33 kV_Wind_F3_Import_Reading]]-CO101)*1200,0)</f>
        <v>0</v>
      </c>
      <c r="CX102" s="105">
        <f>IF(((Input_Raw[[#This Row],[33 kV_Wind_F4_Export Reading]]-CP101)*1200)&gt;0,(Input_Raw[[#This Row],[33 kV_Wind_F4_Export Reading]]-CP101)*1200,0)</f>
        <v>228000</v>
      </c>
      <c r="CY102" s="188"/>
      <c r="CZ102" s="188">
        <f>Input_Raw[[#This Row],[33 kV_F1_Total_Export (KWh)]]+Input_Raw[[#This Row],[33 kV_F2_Total_Export (KWh)2]]+Input_Raw[[#This Row],[33 kV_Wind_F3_Export (KWh)]]+Input_Raw[[#This Row],[33 kV_Wind_F4_Export (KWh)]]</f>
        <v>801600</v>
      </c>
      <c r="DA102" s="188">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16">
        <v>96</v>
      </c>
      <c r="DD102" s="116">
        <v>328624</v>
      </c>
      <c r="DE102" s="118">
        <f>Input_Raw[[#This Row],[WTG Total Gneration (KWh)]]/1000</f>
        <v>804.98299999999995</v>
      </c>
      <c r="DF102" s="115"/>
      <c r="DG102" s="117">
        <v>78</v>
      </c>
      <c r="DH102" s="184"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105">
        <f>IF(((Input_Raw[[#This Row],[33 kV_Wind_F1_Export reading]]-CJ102)*1200)&gt;0,(Input_Raw[[#This Row],[33 kV_Wind_F1_Export reading]]-CJ102)*1200,0)</f>
        <v>211200</v>
      </c>
      <c r="CS103" s="105">
        <f>IF(((Input_Raw[[#This Row],[33 kV_Wind_F1_Import reading]]-CK102)*1200)&gt;0,(Input_Raw[[#This Row],[33 kV_Wind_F1_Import reading]]-CK102)*1200,0)</f>
        <v>0</v>
      </c>
      <c r="CT103" s="105">
        <f>IF(((Input_Raw[[#This Row],[33 kV_Wind_F2_Export_reading]]-CL102)*1200)&gt;0,(Input_Raw[[#This Row],[33 kV_Wind_F2_Export_reading]]-CL102)*1200,0)</f>
        <v>192000</v>
      </c>
      <c r="CU103" s="105">
        <f>IF(((Input_Raw[[#This Row],[33 kV_Wind_F2_Import_reading]]-CM102)*1200)&gt;0,(Input_Raw[[#This Row],[33 kV_Wind_F2_Import_reading]]-CM102)*1200,0)</f>
        <v>0</v>
      </c>
      <c r="CV103" s="105">
        <f>IF(((Input_Raw[[#This Row],[33 kV_Wind_F3_Export_Reading]]-CN102)*1200)&gt;0,(Input_Raw[[#This Row],[33 kV_Wind_F3_Export_Reading]]-CN102)*1200,0)</f>
        <v>199200</v>
      </c>
      <c r="CW103" s="105">
        <f>IF(((Input_Raw[[#This Row],[33 kV_Wind_F3_Import_Reading]]-CO102)*1200)&gt;0,(Input_Raw[[#This Row],[33 kV_Wind_F3_Import_Reading]]-CO102)*1200,0)</f>
        <v>0</v>
      </c>
      <c r="CX103" s="105">
        <f>IF(((Input_Raw[[#This Row],[33 kV_Wind_F4_Export Reading]]-CP102)*1200)&gt;0,(Input_Raw[[#This Row],[33 kV_Wind_F4_Export Reading]]-CP102)*1200,0)</f>
        <v>201600</v>
      </c>
      <c r="CY103" s="188"/>
      <c r="CZ103" s="188">
        <f>Input_Raw[[#This Row],[33 kV_F1_Total_Export (KWh)]]+Input_Raw[[#This Row],[33 kV_F2_Total_Export (KWh)2]]+Input_Raw[[#This Row],[33 kV_Wind_F3_Export (KWh)]]+Input_Raw[[#This Row],[33 kV_Wind_F4_Export (KWh)]]</f>
        <v>804000</v>
      </c>
      <c r="DA103" s="188">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16">
        <v>96</v>
      </c>
      <c r="DD103" s="116">
        <v>287329</v>
      </c>
      <c r="DE103" s="118">
        <f>Input_Raw[[#This Row],[WTG Total Gneration (KWh)]]/1000</f>
        <v>807.24300000000005</v>
      </c>
      <c r="DF103" s="115"/>
      <c r="DG103" s="117">
        <v>78</v>
      </c>
      <c r="DH103" s="184"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105">
        <f>IF(((Input_Raw[[#This Row],[33 kV_Wind_F1_Export reading]]-CJ103)*1200)&gt;0,(Input_Raw[[#This Row],[33 kV_Wind_F1_Export reading]]-CJ103)*1200,0)</f>
        <v>250800</v>
      </c>
      <c r="CS104" s="105">
        <f>IF(((Input_Raw[[#This Row],[33 kV_Wind_F1_Import reading]]-CK103)*1200)&gt;0,(Input_Raw[[#This Row],[33 kV_Wind_F1_Import reading]]-CK103)*1200,0)</f>
        <v>0</v>
      </c>
      <c r="CT104" s="105">
        <f>IF(((Input_Raw[[#This Row],[33 kV_Wind_F2_Export_reading]]-CL103)*1200)&gt;0,(Input_Raw[[#This Row],[33 kV_Wind_F2_Export_reading]]-CL103)*1200,0)</f>
        <v>228000</v>
      </c>
      <c r="CU104" s="105">
        <f>IF(((Input_Raw[[#This Row],[33 kV_Wind_F2_Import_reading]]-CM103)*1200)&gt;0,(Input_Raw[[#This Row],[33 kV_Wind_F2_Import_reading]]-CM103)*1200,0)</f>
        <v>0</v>
      </c>
      <c r="CV104" s="105">
        <f>IF(((Input_Raw[[#This Row],[33 kV_Wind_F3_Export_Reading]]-CN103)*1200)&gt;0,(Input_Raw[[#This Row],[33 kV_Wind_F3_Export_Reading]]-CN103)*1200,0)</f>
        <v>285600</v>
      </c>
      <c r="CW104" s="105">
        <f>IF(((Input_Raw[[#This Row],[33 kV_Wind_F3_Import_Reading]]-CO103)*1200)&gt;0,(Input_Raw[[#This Row],[33 kV_Wind_F3_Import_Reading]]-CO103)*1200,0)</f>
        <v>0</v>
      </c>
      <c r="CX104" s="105">
        <f>IF(((Input_Raw[[#This Row],[33 kV_Wind_F4_Export Reading]]-CP103)*1200)&gt;0,(Input_Raw[[#This Row],[33 kV_Wind_F4_Export Reading]]-CP103)*1200,0)</f>
        <v>286800</v>
      </c>
      <c r="CY104" s="188"/>
      <c r="CZ104" s="188">
        <f>Input_Raw[[#This Row],[33 kV_F1_Total_Export (KWh)]]+Input_Raw[[#This Row],[33 kV_F2_Total_Export (KWh)2]]+Input_Raw[[#This Row],[33 kV_Wind_F3_Export (KWh)]]+Input_Raw[[#This Row],[33 kV_Wind_F4_Export (KWh)]]</f>
        <v>1051200</v>
      </c>
      <c r="DA104" s="188">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16">
        <v>96</v>
      </c>
      <c r="DD104" s="116">
        <v>450779</v>
      </c>
      <c r="DE104" s="118">
        <f>Input_Raw[[#This Row],[WTG Total Gneration (KWh)]]/1000</f>
        <v>1068.626</v>
      </c>
      <c r="DF104" s="115"/>
      <c r="DG104" s="117">
        <v>78</v>
      </c>
      <c r="DH104" s="184"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v>12488</v>
      </c>
      <c r="G105" s="15">
        <v>12499</v>
      </c>
      <c r="H105" s="15">
        <v>12502</v>
      </c>
      <c r="I105" s="15">
        <v>12452</v>
      </c>
      <c r="J105" s="15">
        <v>9293</v>
      </c>
      <c r="K105" s="15">
        <v>12498</v>
      </c>
      <c r="L105" s="15">
        <v>12456</v>
      </c>
      <c r="M105" s="15">
        <v>12385</v>
      </c>
      <c r="N105" s="15">
        <v>14622</v>
      </c>
      <c r="O105" s="15">
        <v>12480</v>
      </c>
      <c r="P105" s="15">
        <v>12640</v>
      </c>
      <c r="Q105" s="15">
        <v>14687</v>
      </c>
      <c r="R105" s="15">
        <v>14676</v>
      </c>
      <c r="S105" s="15">
        <v>14623</v>
      </c>
      <c r="T105" s="15">
        <v>14828</v>
      </c>
      <c r="U105" s="15">
        <v>14599</v>
      </c>
      <c r="V105" s="15">
        <v>0</v>
      </c>
      <c r="W105" s="15">
        <v>13935</v>
      </c>
      <c r="X105" s="15">
        <v>14789</v>
      </c>
      <c r="Y105" s="15">
        <v>14741</v>
      </c>
      <c r="Z105" s="15">
        <v>9348</v>
      </c>
      <c r="AA105" s="15">
        <v>9289</v>
      </c>
      <c r="AB105" s="15">
        <v>8953</v>
      </c>
      <c r="AC105" s="15">
        <v>9202</v>
      </c>
      <c r="AD105" s="15">
        <v>8100</v>
      </c>
      <c r="AE105" s="15">
        <v>9255</v>
      </c>
      <c r="AF105" s="15">
        <v>9235</v>
      </c>
      <c r="AG105" s="15">
        <v>0</v>
      </c>
      <c r="AH105" s="15">
        <v>9225</v>
      </c>
      <c r="AI105" s="15">
        <v>0</v>
      </c>
      <c r="AJ105" s="15">
        <v>8120</v>
      </c>
      <c r="AK105" s="15">
        <v>7901</v>
      </c>
      <c r="AL105" s="15">
        <v>8006</v>
      </c>
      <c r="AM105" s="15">
        <v>8311</v>
      </c>
      <c r="AN105" s="15">
        <v>8298</v>
      </c>
      <c r="AO105" s="15">
        <v>8142</v>
      </c>
      <c r="AP105" s="15">
        <v>8133</v>
      </c>
      <c r="AQ105" s="15">
        <v>8090</v>
      </c>
      <c r="AR105" s="15">
        <v>8120</v>
      </c>
      <c r="AS105" s="16">
        <v>4.8499999999999996</v>
      </c>
      <c r="AT105" s="16">
        <v>5.26</v>
      </c>
      <c r="AU105" s="16">
        <v>4.68</v>
      </c>
      <c r="AV105" s="16">
        <v>5.05</v>
      </c>
      <c r="AW105" s="16">
        <v>5</v>
      </c>
      <c r="AX105" s="16">
        <v>5.1100000000000003</v>
      </c>
      <c r="AY105" s="16">
        <v>4.84</v>
      </c>
      <c r="AZ105" s="16">
        <v>4.4800000000000004</v>
      </c>
      <c r="BA105" s="16">
        <v>5.09</v>
      </c>
      <c r="BB105" s="16">
        <v>4.83</v>
      </c>
      <c r="BC105" s="16">
        <v>5.29</v>
      </c>
      <c r="BD105" s="16">
        <v>5.04</v>
      </c>
      <c r="BE105" s="16">
        <v>5.15</v>
      </c>
      <c r="BF105" s="16">
        <v>5.24</v>
      </c>
      <c r="BG105" s="16">
        <v>4.99</v>
      </c>
      <c r="BH105" s="16">
        <v>5.44</v>
      </c>
      <c r="BI105" s="16">
        <v>0</v>
      </c>
      <c r="BJ105" s="16">
        <v>5.48</v>
      </c>
      <c r="BK105" s="16">
        <v>5.43</v>
      </c>
      <c r="BL105" s="16">
        <v>5.67</v>
      </c>
      <c r="BM105" s="16">
        <v>4.5</v>
      </c>
      <c r="BN105" s="16">
        <v>5.29</v>
      </c>
      <c r="BO105" s="16">
        <v>4.82</v>
      </c>
      <c r="BP105" s="16">
        <v>5.04</v>
      </c>
      <c r="BQ105" s="16">
        <v>5.32</v>
      </c>
      <c r="BR105" s="16">
        <v>5.01</v>
      </c>
      <c r="BS105" s="16">
        <v>5.03</v>
      </c>
      <c r="BT105" s="16">
        <v>0</v>
      </c>
      <c r="BU105" s="16">
        <v>4.8099999999999996</v>
      </c>
      <c r="BV105" s="16">
        <v>0</v>
      </c>
      <c r="BW105" s="16">
        <v>4.95</v>
      </c>
      <c r="BX105" s="16">
        <v>5.01</v>
      </c>
      <c r="BY105" s="16">
        <v>4.99</v>
      </c>
      <c r="BZ105" s="16">
        <v>5.16</v>
      </c>
      <c r="CA105" s="16">
        <v>5.21</v>
      </c>
      <c r="CB105" s="16">
        <v>4.87</v>
      </c>
      <c r="CC105" s="16">
        <v>5.18</v>
      </c>
      <c r="CD105" s="16">
        <v>4.8499999999999996</v>
      </c>
      <c r="CE105" s="16">
        <v>5.19</v>
      </c>
      <c r="CF105" s="17">
        <f>SUM(Input_Raw[[#This Row],[G01]:[G40]])</f>
        <v>398921</v>
      </c>
      <c r="CG105" s="18">
        <f>IFERROR(AVERAGE(Input_Raw[[#This Row],[WS_G01]:[WS_G40]]),"")</f>
        <v>4.6705128205128208</v>
      </c>
      <c r="CH105" s="19"/>
      <c r="CI105" s="19"/>
      <c r="CJ105" s="15">
        <v>246721</v>
      </c>
      <c r="CK105" s="15">
        <v>2194</v>
      </c>
      <c r="CL105" s="15">
        <v>285773</v>
      </c>
      <c r="CM105" s="15">
        <v>2220</v>
      </c>
      <c r="CN105" s="15">
        <v>263476</v>
      </c>
      <c r="CO105" s="15">
        <v>1827</v>
      </c>
      <c r="CP105" s="15">
        <v>299867</v>
      </c>
      <c r="CQ105" s="15">
        <v>1873</v>
      </c>
      <c r="CR105" s="105">
        <f>IF(((Input_Raw[[#This Row],[33 kV_Wind_F1_Export reading]]-CJ104)*1200)&gt;0,(Input_Raw[[#This Row],[33 kV_Wind_F1_Export reading]]-CJ104)*1200,0)</f>
        <v>80400</v>
      </c>
      <c r="CS105" s="105">
        <f>IF(((Input_Raw[[#This Row],[33 kV_Wind_F1_Import reading]]-CK104)*1200)&gt;0,(Input_Raw[[#This Row],[33 kV_Wind_F1_Import reading]]-CK104)*1200,0)</f>
        <v>0</v>
      </c>
      <c r="CT105" s="105">
        <f>IF(((Input_Raw[[#This Row],[33 kV_Wind_F2_Export_reading]]-CL104)*1200)&gt;0,(Input_Raw[[#This Row],[33 kV_Wind_F2_Export_reading]]-CL104)*1200,0)</f>
        <v>73200</v>
      </c>
      <c r="CU105" s="105">
        <f>IF(((Input_Raw[[#This Row],[33 kV_Wind_F2_Import_reading]]-CM104)*1200)&gt;0,(Input_Raw[[#This Row],[33 kV_Wind_F2_Import_reading]]-CM104)*1200,0)</f>
        <v>0</v>
      </c>
      <c r="CV105" s="105">
        <f>IF(((Input_Raw[[#This Row],[33 kV_Wind_F3_Export_Reading]]-CN104)*1200)&gt;0,(Input_Raw[[#This Row],[33 kV_Wind_F3_Export_Reading]]-CN104)*1200,0)</f>
        <v>111600</v>
      </c>
      <c r="CW105" s="105">
        <f>IF(((Input_Raw[[#This Row],[33 kV_Wind_F3_Import_Reading]]-CO104)*1200)&gt;0,(Input_Raw[[#This Row],[33 kV_Wind_F3_Import_Reading]]-CO104)*1200,0)</f>
        <v>0</v>
      </c>
      <c r="CX105" s="105">
        <f>IF(((Input_Raw[[#This Row],[33 kV_Wind_F4_Export Reading]]-CP104)*1200)&gt;0,(Input_Raw[[#This Row],[33 kV_Wind_F4_Export Reading]]-CP104)*1200,0)</f>
        <v>130800</v>
      </c>
      <c r="CY105" s="188"/>
      <c r="CZ105" s="188">
        <f>Input_Raw[[#This Row],[33 kV_F1_Total_Export (KWh)]]+Input_Raw[[#This Row],[33 kV_F2_Total_Export (KWh)2]]+Input_Raw[[#This Row],[33 kV_Wind_F3_Export (KWh)]]+Input_Raw[[#This Row],[33 kV_Wind_F4_Export (KWh)]]</f>
        <v>396000</v>
      </c>
      <c r="DA105" s="188">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7.3222517741607929E-3</v>
      </c>
      <c r="DC105" s="116">
        <v>96</v>
      </c>
      <c r="DD105" s="116">
        <v>51198</v>
      </c>
      <c r="DE105" s="118">
        <f>Input_Raw[[#This Row],[WTG Total Gneration (KWh)]]/1000</f>
        <v>398.92099999999999</v>
      </c>
      <c r="DF105" s="115"/>
      <c r="DG105" s="117">
        <v>78</v>
      </c>
      <c r="DH105" s="184" t="s">
        <v>381</v>
      </c>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v>12245</v>
      </c>
      <c r="G106" s="15">
        <v>16569</v>
      </c>
      <c r="H106" s="15">
        <v>16602</v>
      </c>
      <c r="I106" s="15">
        <v>16549</v>
      </c>
      <c r="J106" s="15">
        <v>13458</v>
      </c>
      <c r="K106" s="15">
        <v>16623</v>
      </c>
      <c r="L106" s="15">
        <v>16576</v>
      </c>
      <c r="M106" s="15">
        <v>16612</v>
      </c>
      <c r="N106" s="15">
        <v>20622</v>
      </c>
      <c r="O106" s="15">
        <v>16511</v>
      </c>
      <c r="P106" s="15">
        <v>16513</v>
      </c>
      <c r="Q106" s="15">
        <v>20698</v>
      </c>
      <c r="R106" s="15">
        <v>20623</v>
      </c>
      <c r="S106" s="15">
        <v>20612</v>
      </c>
      <c r="T106" s="15">
        <v>20586</v>
      </c>
      <c r="U106" s="15">
        <v>20699</v>
      </c>
      <c r="V106" s="15">
        <v>0</v>
      </c>
      <c r="W106" s="15">
        <v>20689</v>
      </c>
      <c r="X106" s="15">
        <v>20530</v>
      </c>
      <c r="Y106" s="15">
        <v>20541</v>
      </c>
      <c r="Z106" s="15">
        <v>13450</v>
      </c>
      <c r="AA106" s="15">
        <v>13623</v>
      </c>
      <c r="AB106" s="15">
        <v>13277</v>
      </c>
      <c r="AC106" s="15">
        <v>13427</v>
      </c>
      <c r="AD106" s="15">
        <v>10015</v>
      </c>
      <c r="AE106" s="15">
        <v>13473</v>
      </c>
      <c r="AF106" s="15">
        <v>13442</v>
      </c>
      <c r="AG106" s="15">
        <v>0</v>
      </c>
      <c r="AH106" s="15">
        <v>13450</v>
      </c>
      <c r="AI106" s="15">
        <v>0</v>
      </c>
      <c r="AJ106" s="15">
        <v>9978</v>
      </c>
      <c r="AK106" s="15">
        <v>11985</v>
      </c>
      <c r="AL106" s="15">
        <v>12022</v>
      </c>
      <c r="AM106" s="15">
        <v>11942</v>
      </c>
      <c r="AN106" s="15">
        <v>11966</v>
      </c>
      <c r="AO106" s="15">
        <v>11888</v>
      </c>
      <c r="AP106" s="15">
        <v>10058</v>
      </c>
      <c r="AQ106" s="15">
        <v>10034</v>
      </c>
      <c r="AR106" s="15">
        <v>10112</v>
      </c>
      <c r="AS106" s="16">
        <v>5.59</v>
      </c>
      <c r="AT106" s="16">
        <v>6.18</v>
      </c>
      <c r="AU106" s="16">
        <v>5.43</v>
      </c>
      <c r="AV106" s="16">
        <v>5.42</v>
      </c>
      <c r="AW106" s="16">
        <v>5.97</v>
      </c>
      <c r="AX106" s="16">
        <v>6.06</v>
      </c>
      <c r="AY106" s="16">
        <v>5.51</v>
      </c>
      <c r="AZ106" s="16">
        <v>5.15</v>
      </c>
      <c r="BA106" s="16">
        <v>5.98</v>
      </c>
      <c r="BB106" s="16">
        <v>5.33</v>
      </c>
      <c r="BC106" s="16">
        <v>6.31</v>
      </c>
      <c r="BD106" s="16">
        <v>5.92</v>
      </c>
      <c r="BE106" s="16">
        <v>5.96</v>
      </c>
      <c r="BF106" s="16">
        <v>5.77</v>
      </c>
      <c r="BG106" s="16">
        <v>5.83</v>
      </c>
      <c r="BH106" s="16">
        <v>5.9</v>
      </c>
      <c r="BI106" s="16">
        <v>0</v>
      </c>
      <c r="BJ106" s="16">
        <v>5.8</v>
      </c>
      <c r="BK106" s="16">
        <v>5.74</v>
      </c>
      <c r="BL106" s="16">
        <v>6.66</v>
      </c>
      <c r="BM106" s="16">
        <v>6.01</v>
      </c>
      <c r="BN106" s="16">
        <v>6.2</v>
      </c>
      <c r="BO106" s="16">
        <v>6.1</v>
      </c>
      <c r="BP106" s="16">
        <v>5.88</v>
      </c>
      <c r="BQ106" s="16">
        <v>6</v>
      </c>
      <c r="BR106" s="16">
        <v>5.88</v>
      </c>
      <c r="BS106" s="16">
        <v>5.94</v>
      </c>
      <c r="BT106" s="16">
        <v>0</v>
      </c>
      <c r="BU106" s="16">
        <v>5.74</v>
      </c>
      <c r="BV106" s="16">
        <v>0</v>
      </c>
      <c r="BW106" s="16">
        <v>5.52</v>
      </c>
      <c r="BX106" s="16">
        <v>5.76</v>
      </c>
      <c r="BY106" s="16">
        <v>6.04</v>
      </c>
      <c r="BZ106" s="16">
        <v>6.02</v>
      </c>
      <c r="CA106" s="16">
        <v>5.85</v>
      </c>
      <c r="CB106" s="16">
        <v>6.03</v>
      </c>
      <c r="CC106" s="16">
        <v>5.99</v>
      </c>
      <c r="CD106" s="16">
        <v>5.42</v>
      </c>
      <c r="CE106" s="16">
        <v>6.19</v>
      </c>
      <c r="CF106" s="17">
        <f>SUM(Input_Raw[[#This Row],[G01]:[G40]])</f>
        <v>548000</v>
      </c>
      <c r="CG106" s="18">
        <f>IFERROR(AVERAGE(Input_Raw[[#This Row],[WS_G01]:[WS_G40]]),"")</f>
        <v>5.4123076923076923</v>
      </c>
      <c r="CH106" s="19"/>
      <c r="CI106" s="19"/>
      <c r="CJ106" s="15">
        <v>246812</v>
      </c>
      <c r="CK106" s="15">
        <v>2194</v>
      </c>
      <c r="CL106" s="15">
        <v>285862</v>
      </c>
      <c r="CM106" s="15">
        <v>2220</v>
      </c>
      <c r="CN106" s="15">
        <v>263596</v>
      </c>
      <c r="CO106" s="15">
        <v>1827</v>
      </c>
      <c r="CP106" s="15">
        <v>300021</v>
      </c>
      <c r="CQ106" s="15">
        <v>1873</v>
      </c>
      <c r="CR106" s="105">
        <f>IF(((Input_Raw[[#This Row],[33 kV_Wind_F1_Export reading]]-CJ105)*1200)&gt;0,(Input_Raw[[#This Row],[33 kV_Wind_F1_Export reading]]-CJ105)*1200,0)</f>
        <v>109200</v>
      </c>
      <c r="CS106" s="105">
        <f>IF(((Input_Raw[[#This Row],[33 kV_Wind_F1_Import reading]]-CK105)*1200)&gt;0,(Input_Raw[[#This Row],[33 kV_Wind_F1_Import reading]]-CK105)*1200,0)</f>
        <v>0</v>
      </c>
      <c r="CT106" s="105">
        <f>IF(((Input_Raw[[#This Row],[33 kV_Wind_F2_Export_reading]]-CL105)*1200)&gt;0,(Input_Raw[[#This Row],[33 kV_Wind_F2_Export_reading]]-CL105)*1200,0)</f>
        <v>106800</v>
      </c>
      <c r="CU106" s="105">
        <f>IF(((Input_Raw[[#This Row],[33 kV_Wind_F2_Import_reading]]-CM105)*1200)&gt;0,(Input_Raw[[#This Row],[33 kV_Wind_F2_Import_reading]]-CM105)*1200,0)</f>
        <v>0</v>
      </c>
      <c r="CV106" s="105">
        <f>IF(((Input_Raw[[#This Row],[33 kV_Wind_F3_Export_Reading]]-CN105)*1200)&gt;0,(Input_Raw[[#This Row],[33 kV_Wind_F3_Export_Reading]]-CN105)*1200,0)</f>
        <v>144000</v>
      </c>
      <c r="CW106" s="105">
        <f>IF(((Input_Raw[[#This Row],[33 kV_Wind_F3_Import_Reading]]-CO105)*1200)&gt;0,(Input_Raw[[#This Row],[33 kV_Wind_F3_Import_Reading]]-CO105)*1200,0)</f>
        <v>0</v>
      </c>
      <c r="CX106" s="105">
        <f>IF(((Input_Raw[[#This Row],[33 kV_Wind_F4_Export Reading]]-CP105)*1200)&gt;0,(Input_Raw[[#This Row],[33 kV_Wind_F4_Export Reading]]-CP105)*1200,0)</f>
        <v>184800</v>
      </c>
      <c r="CY106" s="188"/>
      <c r="CZ106" s="188">
        <f>Input_Raw[[#This Row],[33 kV_F1_Total_Export (KWh)]]+Input_Raw[[#This Row],[33 kV_F2_Total_Export (KWh)2]]+Input_Raw[[#This Row],[33 kV_Wind_F3_Export (KWh)]]+Input_Raw[[#This Row],[33 kV_Wind_F4_Export (KWh)]]</f>
        <v>544800</v>
      </c>
      <c r="DA106" s="188">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5.839416058394109E-3</v>
      </c>
      <c r="DC106" s="116">
        <v>96</v>
      </c>
      <c r="DD106" s="116">
        <v>228131</v>
      </c>
      <c r="DE106" s="118">
        <f>Input_Raw[[#This Row],[WTG Total Gneration (KWh)]]/1000</f>
        <v>548</v>
      </c>
      <c r="DF106" s="115"/>
      <c r="DG106" s="117">
        <v>78</v>
      </c>
      <c r="DH106" s="184" t="s">
        <v>381</v>
      </c>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v>11475</v>
      </c>
      <c r="G107" s="15">
        <v>11523</v>
      </c>
      <c r="H107" s="15">
        <v>11498</v>
      </c>
      <c r="I107" s="15">
        <v>10813</v>
      </c>
      <c r="J107" s="15">
        <v>9135</v>
      </c>
      <c r="K107" s="15">
        <v>11568</v>
      </c>
      <c r="L107" s="15">
        <v>11467</v>
      </c>
      <c r="M107" s="15">
        <v>11485</v>
      </c>
      <c r="N107" s="15">
        <v>12355</v>
      </c>
      <c r="O107" s="15">
        <v>11453</v>
      </c>
      <c r="P107" s="15">
        <v>11515</v>
      </c>
      <c r="Q107" s="15">
        <v>12398</v>
      </c>
      <c r="R107" s="15">
        <v>12314</v>
      </c>
      <c r="S107" s="15">
        <v>12316</v>
      </c>
      <c r="T107" s="15">
        <v>12403</v>
      </c>
      <c r="U107" s="15">
        <v>12369</v>
      </c>
      <c r="V107" s="15">
        <v>0</v>
      </c>
      <c r="W107" s="15">
        <v>12355</v>
      </c>
      <c r="X107" s="15">
        <v>12334</v>
      </c>
      <c r="Y107" s="15">
        <v>12356</v>
      </c>
      <c r="Z107" s="15">
        <v>9131</v>
      </c>
      <c r="AA107" s="15">
        <v>9157</v>
      </c>
      <c r="AB107" s="15">
        <v>9005</v>
      </c>
      <c r="AC107" s="15">
        <v>9006</v>
      </c>
      <c r="AD107" s="15">
        <v>7490</v>
      </c>
      <c r="AE107" s="15">
        <v>9025</v>
      </c>
      <c r="AF107" s="15">
        <v>8987</v>
      </c>
      <c r="AG107" s="15">
        <v>0</v>
      </c>
      <c r="AH107" s="15">
        <v>6877</v>
      </c>
      <c r="AI107" s="15">
        <v>0</v>
      </c>
      <c r="AJ107" s="15">
        <v>6267</v>
      </c>
      <c r="AK107" s="15">
        <v>7370</v>
      </c>
      <c r="AL107" s="15">
        <v>7345</v>
      </c>
      <c r="AM107" s="15">
        <v>7397</v>
      </c>
      <c r="AN107" s="15">
        <v>7402</v>
      </c>
      <c r="AO107" s="15">
        <v>7389</v>
      </c>
      <c r="AP107" s="15">
        <v>7362</v>
      </c>
      <c r="AQ107" s="15">
        <v>7312</v>
      </c>
      <c r="AR107" s="15">
        <v>7366</v>
      </c>
      <c r="AS107" s="16">
        <v>4.8499999999999996</v>
      </c>
      <c r="AT107" s="16">
        <v>5.37</v>
      </c>
      <c r="AU107" s="16">
        <v>4.76</v>
      </c>
      <c r="AV107" s="16">
        <v>4.7699999999999996</v>
      </c>
      <c r="AW107" s="16">
        <v>5.09</v>
      </c>
      <c r="AX107" s="16">
        <v>5.19</v>
      </c>
      <c r="AY107" s="16">
        <v>4.8</v>
      </c>
      <c r="AZ107" s="16">
        <v>4.87</v>
      </c>
      <c r="BA107" s="16">
        <v>5.25</v>
      </c>
      <c r="BB107" s="16">
        <v>4.9800000000000004</v>
      </c>
      <c r="BC107" s="16">
        <v>5.45</v>
      </c>
      <c r="BD107" s="16">
        <v>5.28</v>
      </c>
      <c r="BE107" s="16">
        <v>5.32</v>
      </c>
      <c r="BF107" s="16">
        <v>5.14</v>
      </c>
      <c r="BG107" s="16">
        <v>5.09</v>
      </c>
      <c r="BH107" s="16">
        <v>5.27</v>
      </c>
      <c r="BI107" s="16">
        <v>0</v>
      </c>
      <c r="BJ107" s="16">
        <v>5.36</v>
      </c>
      <c r="BK107" s="16">
        <v>6.59</v>
      </c>
      <c r="BL107" s="16">
        <v>5.63</v>
      </c>
      <c r="BM107" s="16">
        <v>5.4</v>
      </c>
      <c r="BN107" s="16">
        <v>5.44</v>
      </c>
      <c r="BO107" s="16">
        <v>4.66</v>
      </c>
      <c r="BP107" s="16">
        <v>4.9800000000000004</v>
      </c>
      <c r="BQ107" s="16">
        <v>4.95</v>
      </c>
      <c r="BR107" s="16">
        <v>4.71</v>
      </c>
      <c r="BS107" s="16">
        <v>4.88</v>
      </c>
      <c r="BT107" s="16">
        <v>0</v>
      </c>
      <c r="BU107" s="16">
        <v>4.8600000000000003</v>
      </c>
      <c r="BV107" s="16">
        <v>0</v>
      </c>
      <c r="BW107" s="16">
        <v>4.59</v>
      </c>
      <c r="BX107" s="16">
        <v>4.7300000000000004</v>
      </c>
      <c r="BY107" s="16">
        <v>4.88</v>
      </c>
      <c r="BZ107" s="16">
        <v>4.88</v>
      </c>
      <c r="CA107" s="16">
        <v>5.07</v>
      </c>
      <c r="CB107" s="16">
        <v>5.05</v>
      </c>
      <c r="CC107" s="16">
        <v>4.83</v>
      </c>
      <c r="CD107" s="16">
        <v>4.74</v>
      </c>
      <c r="CE107" s="16">
        <v>5.01</v>
      </c>
      <c r="CF107" s="17">
        <f>SUM(Input_Raw[[#This Row],[G01]:[G40]])</f>
        <v>357020</v>
      </c>
      <c r="CG107" s="18">
        <f>IFERROR(AVERAGE(Input_Raw[[#This Row],[WS_G01]:[WS_G40]]),"")</f>
        <v>4.6851282051282048</v>
      </c>
      <c r="CH107" s="19"/>
      <c r="CI107" s="19"/>
      <c r="CJ107" s="15">
        <v>246872</v>
      </c>
      <c r="CK107" s="15">
        <v>2194</v>
      </c>
      <c r="CL107" s="15">
        <v>285920</v>
      </c>
      <c r="CM107" s="15">
        <v>2220</v>
      </c>
      <c r="CN107" s="15">
        <v>263681</v>
      </c>
      <c r="CO107" s="15">
        <v>1827</v>
      </c>
      <c r="CP107" s="15">
        <v>300113</v>
      </c>
      <c r="CQ107" s="15">
        <v>1873</v>
      </c>
      <c r="CR107" s="105">
        <f>IF(((Input_Raw[[#This Row],[33 kV_Wind_F1_Export reading]]-CJ106)*1200)&gt;0,(Input_Raw[[#This Row],[33 kV_Wind_F1_Export reading]]-CJ106)*1200,0)</f>
        <v>72000</v>
      </c>
      <c r="CS107" s="105">
        <f>IF(((Input_Raw[[#This Row],[33 kV_Wind_F1_Import reading]]-CK106)*1200)&gt;0,(Input_Raw[[#This Row],[33 kV_Wind_F1_Import reading]]-CK106)*1200,0)</f>
        <v>0</v>
      </c>
      <c r="CT107" s="105">
        <f>IF(((Input_Raw[[#This Row],[33 kV_Wind_F2_Export_reading]]-CL106)*1200)&gt;0,(Input_Raw[[#This Row],[33 kV_Wind_F2_Export_reading]]-CL106)*1200,0)</f>
        <v>69600</v>
      </c>
      <c r="CU107" s="105">
        <f>IF(((Input_Raw[[#This Row],[33 kV_Wind_F2_Import_reading]]-CM106)*1200)&gt;0,(Input_Raw[[#This Row],[33 kV_Wind_F2_Import_reading]]-CM106)*1200,0)</f>
        <v>0</v>
      </c>
      <c r="CV107" s="105">
        <f>IF(((Input_Raw[[#This Row],[33 kV_Wind_F3_Export_Reading]]-CN106)*1200)&gt;0,(Input_Raw[[#This Row],[33 kV_Wind_F3_Export_Reading]]-CN106)*1200,0)</f>
        <v>102000</v>
      </c>
      <c r="CW107" s="105">
        <f>IF(((Input_Raw[[#This Row],[33 kV_Wind_F3_Import_Reading]]-CO106)*1200)&gt;0,(Input_Raw[[#This Row],[33 kV_Wind_F3_Import_Reading]]-CO106)*1200,0)</f>
        <v>0</v>
      </c>
      <c r="CX107" s="105">
        <f>IF(((Input_Raw[[#This Row],[33 kV_Wind_F4_Export Reading]]-CP106)*1200)&gt;0,(Input_Raw[[#This Row],[33 kV_Wind_F4_Export Reading]]-CP106)*1200,0)</f>
        <v>110400</v>
      </c>
      <c r="CY107" s="188"/>
      <c r="CZ107" s="188">
        <f>Input_Raw[[#This Row],[33 kV_F1_Total_Export (KWh)]]+Input_Raw[[#This Row],[33 kV_F2_Total_Export (KWh)2]]+Input_Raw[[#This Row],[33 kV_Wind_F3_Export (KWh)]]+Input_Raw[[#This Row],[33 kV_Wind_F4_Export (KWh)]]</f>
        <v>354000</v>
      </c>
      <c r="DA107" s="188">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8.4589098649935357E-3</v>
      </c>
      <c r="DC107" s="116">
        <v>96</v>
      </c>
      <c r="DD107" s="116">
        <v>58822</v>
      </c>
      <c r="DE107" s="118">
        <f>Input_Raw[[#This Row],[WTG Total Gneration (KWh)]]/1000</f>
        <v>357.02</v>
      </c>
      <c r="DF107" s="115"/>
      <c r="DG107" s="117">
        <v>78</v>
      </c>
      <c r="DH107" s="184" t="s">
        <v>381</v>
      </c>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v>5933</v>
      </c>
      <c r="G108" s="15">
        <v>5995</v>
      </c>
      <c r="H108" s="15">
        <v>5680</v>
      </c>
      <c r="I108" s="15">
        <v>6010</v>
      </c>
      <c r="J108" s="15">
        <v>4589</v>
      </c>
      <c r="K108" s="15">
        <v>5933</v>
      </c>
      <c r="L108" s="15">
        <v>5930</v>
      </c>
      <c r="M108" s="15">
        <v>5982</v>
      </c>
      <c r="N108" s="15">
        <v>6600</v>
      </c>
      <c r="O108" s="15">
        <v>5982</v>
      </c>
      <c r="P108" s="15">
        <v>5933</v>
      </c>
      <c r="Q108" s="15">
        <v>6595</v>
      </c>
      <c r="R108" s="15">
        <v>6605</v>
      </c>
      <c r="S108" s="15">
        <v>6602</v>
      </c>
      <c r="T108" s="15">
        <v>6398</v>
      </c>
      <c r="U108" s="15">
        <v>6594</v>
      </c>
      <c r="V108" s="15">
        <v>0</v>
      </c>
      <c r="W108" s="15">
        <v>6420</v>
      </c>
      <c r="X108" s="15">
        <v>6783</v>
      </c>
      <c r="Y108" s="15">
        <v>6932</v>
      </c>
      <c r="Z108" s="15">
        <v>4986</v>
      </c>
      <c r="AA108" s="15">
        <v>4865</v>
      </c>
      <c r="AB108" s="15">
        <v>4738</v>
      </c>
      <c r="AC108" s="15">
        <v>4680</v>
      </c>
      <c r="AD108" s="15">
        <v>3660</v>
      </c>
      <c r="AE108" s="15">
        <v>4580</v>
      </c>
      <c r="AF108" s="15">
        <v>3492</v>
      </c>
      <c r="AG108" s="15">
        <v>0</v>
      </c>
      <c r="AH108" s="15">
        <v>4510</v>
      </c>
      <c r="AI108" s="15">
        <v>0</v>
      </c>
      <c r="AJ108" s="15">
        <v>3520</v>
      </c>
      <c r="AK108" s="15">
        <v>3665</v>
      </c>
      <c r="AL108" s="15">
        <v>3654</v>
      </c>
      <c r="AM108" s="15">
        <v>3654</v>
      </c>
      <c r="AN108" s="15">
        <v>3900</v>
      </c>
      <c r="AO108" s="15">
        <v>3850</v>
      </c>
      <c r="AP108" s="15">
        <v>3650</v>
      </c>
      <c r="AQ108" s="15">
        <v>3650</v>
      </c>
      <c r="AR108" s="15">
        <v>3660</v>
      </c>
      <c r="AS108" s="16">
        <v>3.93</v>
      </c>
      <c r="AT108" s="16">
        <v>3.99</v>
      </c>
      <c r="AU108" s="16">
        <v>3.9</v>
      </c>
      <c r="AV108" s="16">
        <v>3.78</v>
      </c>
      <c r="AW108" s="16">
        <v>3.4</v>
      </c>
      <c r="AX108" s="16">
        <v>4.13</v>
      </c>
      <c r="AY108" s="16">
        <v>3.8</v>
      </c>
      <c r="AZ108" s="16">
        <v>4.05</v>
      </c>
      <c r="BA108" s="16">
        <v>3.76</v>
      </c>
      <c r="BB108" s="16">
        <v>3.86</v>
      </c>
      <c r="BC108" s="16">
        <v>4.0599999999999996</v>
      </c>
      <c r="BD108" s="16">
        <v>3.98</v>
      </c>
      <c r="BE108" s="16">
        <v>4.04</v>
      </c>
      <c r="BF108" s="16">
        <v>4.03</v>
      </c>
      <c r="BG108" s="16">
        <v>3.88</v>
      </c>
      <c r="BH108" s="16">
        <v>4.18</v>
      </c>
      <c r="BI108" s="16">
        <v>0</v>
      </c>
      <c r="BJ108" s="16">
        <v>4.09</v>
      </c>
      <c r="BK108" s="16">
        <v>4.29</v>
      </c>
      <c r="BL108" s="16">
        <v>4.0599999999999996</v>
      </c>
      <c r="BM108" s="16">
        <v>4.5</v>
      </c>
      <c r="BN108" s="16">
        <v>3.75</v>
      </c>
      <c r="BO108" s="16">
        <v>3.14</v>
      </c>
      <c r="BP108" s="16">
        <v>3.53</v>
      </c>
      <c r="BQ108" s="16">
        <v>3.02</v>
      </c>
      <c r="BR108" s="16">
        <v>3.42</v>
      </c>
      <c r="BS108" s="16">
        <v>3.48</v>
      </c>
      <c r="BT108" s="16">
        <v>0</v>
      </c>
      <c r="BU108" s="16">
        <v>3.31</v>
      </c>
      <c r="BV108" s="16">
        <v>0</v>
      </c>
      <c r="BW108" s="16">
        <v>3.29</v>
      </c>
      <c r="BX108" s="16">
        <v>3.51</v>
      </c>
      <c r="BY108" s="16">
        <v>3.38</v>
      </c>
      <c r="BZ108" s="16">
        <v>3.42</v>
      </c>
      <c r="CA108" s="16">
        <v>3.69</v>
      </c>
      <c r="CB108" s="16">
        <v>3.98</v>
      </c>
      <c r="CC108" s="16">
        <v>3.43</v>
      </c>
      <c r="CD108" s="16">
        <v>3.41</v>
      </c>
      <c r="CE108" s="16">
        <v>3.47</v>
      </c>
      <c r="CF108" s="17">
        <f>SUM(Input_Raw[[#This Row],[G01]:[G40]])</f>
        <v>186210</v>
      </c>
      <c r="CG108" s="18">
        <f>IFERROR(AVERAGE(Input_Raw[[#This Row],[WS_G01]:[WS_G40]]),"")</f>
        <v>3.4600000000000009</v>
      </c>
      <c r="CH108" s="19"/>
      <c r="CI108" s="19"/>
      <c r="CJ108" s="15">
        <v>246902</v>
      </c>
      <c r="CK108" s="15">
        <v>2194</v>
      </c>
      <c r="CL108" s="15">
        <v>285950</v>
      </c>
      <c r="CM108" s="15">
        <v>2220</v>
      </c>
      <c r="CN108" s="15">
        <v>263725</v>
      </c>
      <c r="CO108" s="15">
        <v>1827</v>
      </c>
      <c r="CP108" s="15">
        <v>300162</v>
      </c>
      <c r="CQ108" s="15">
        <v>1873</v>
      </c>
      <c r="CR108" s="105">
        <f>IF(((Input_Raw[[#This Row],[33 kV_Wind_F1_Export reading]]-CJ107)*1200)&gt;0,(Input_Raw[[#This Row],[33 kV_Wind_F1_Export reading]]-CJ107)*1200,0)</f>
        <v>36000</v>
      </c>
      <c r="CS108" s="105">
        <f>IF(((Input_Raw[[#This Row],[33 kV_Wind_F1_Import reading]]-CK107)*1200)&gt;0,(Input_Raw[[#This Row],[33 kV_Wind_F1_Import reading]]-CK107)*1200,0)</f>
        <v>0</v>
      </c>
      <c r="CT108" s="105">
        <f>IF(((Input_Raw[[#This Row],[33 kV_Wind_F2_Export_reading]]-CL107)*1200)&gt;0,(Input_Raw[[#This Row],[33 kV_Wind_F2_Export_reading]]-CL107)*1200,0)</f>
        <v>36000</v>
      </c>
      <c r="CU108" s="105">
        <f>IF(((Input_Raw[[#This Row],[33 kV_Wind_F2_Import_reading]]-CM107)*1200)&gt;0,(Input_Raw[[#This Row],[33 kV_Wind_F2_Import_reading]]-CM107)*1200,0)</f>
        <v>0</v>
      </c>
      <c r="CV108" s="105">
        <f>IF(((Input_Raw[[#This Row],[33 kV_Wind_F3_Export_Reading]]-CN107)*1200)&gt;0,(Input_Raw[[#This Row],[33 kV_Wind_F3_Export_Reading]]-CN107)*1200,0)</f>
        <v>52800</v>
      </c>
      <c r="CW108" s="105">
        <f>IF(((Input_Raw[[#This Row],[33 kV_Wind_F3_Import_Reading]]-CO107)*1200)&gt;0,(Input_Raw[[#This Row],[33 kV_Wind_F3_Import_Reading]]-CO107)*1200,0)</f>
        <v>0</v>
      </c>
      <c r="CX108" s="105">
        <f>IF(((Input_Raw[[#This Row],[33 kV_Wind_F4_Export Reading]]-CP107)*1200)&gt;0,(Input_Raw[[#This Row],[33 kV_Wind_F4_Export Reading]]-CP107)*1200,0)</f>
        <v>58800</v>
      </c>
      <c r="CY108" s="188"/>
      <c r="CZ108" s="188">
        <f>Input_Raw[[#This Row],[33 kV_F1_Total_Export (KWh)]]+Input_Raw[[#This Row],[33 kV_F2_Total_Export (KWh)2]]+Input_Raw[[#This Row],[33 kV_Wind_F3_Export (KWh)]]+Input_Raw[[#This Row],[33 kV_Wind_F4_Export (KWh)]]</f>
        <v>183600</v>
      </c>
      <c r="DA108" s="188">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1.4016433059448996E-2</v>
      </c>
      <c r="DC108" s="116">
        <v>96</v>
      </c>
      <c r="DD108" s="116">
        <v>21904</v>
      </c>
      <c r="DE108" s="118">
        <f>Input_Raw[[#This Row],[WTG Total Gneration (KWh)]]/1000</f>
        <v>186.21</v>
      </c>
      <c r="DF108" s="115"/>
      <c r="DG108" s="117">
        <v>78</v>
      </c>
      <c r="DH108" s="184" t="s">
        <v>381</v>
      </c>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7">
        <f>SUM(Input_Raw[[#This Row],[G01]:[G40]])</f>
        <v>0</v>
      </c>
      <c r="CG109" s="18" t="str">
        <f>IFERROR(AVERAGE(Input_Raw[[#This Row],[WS_G01]:[WS_G40]]),"")</f>
        <v/>
      </c>
      <c r="CH109" s="19"/>
      <c r="CI109" s="19"/>
      <c r="CJ109" s="15"/>
      <c r="CK109" s="15"/>
      <c r="CL109" s="15"/>
      <c r="CM109" s="15"/>
      <c r="CN109" s="15"/>
      <c r="CO109" s="15"/>
      <c r="CP109" s="15"/>
      <c r="CQ109" s="15"/>
      <c r="CR109" s="105">
        <f>IF(((Input_Raw[[#This Row],[33 kV_Wind_F1_Export reading]]-CJ108)*1200)&gt;0,(Input_Raw[[#This Row],[33 kV_Wind_F1_Export reading]]-CJ108)*1200,0)</f>
        <v>0</v>
      </c>
      <c r="CS109" s="105">
        <f>IF(((Input_Raw[[#This Row],[33 kV_Wind_F1_Import reading]]-CK108)*1200)&gt;0,(Input_Raw[[#This Row],[33 kV_Wind_F1_Import reading]]-CK108)*1200,0)</f>
        <v>0</v>
      </c>
      <c r="CT109" s="105">
        <f>IF(((Input_Raw[[#This Row],[33 kV_Wind_F2_Export_reading]]-CL108)*1200)&gt;0,(Input_Raw[[#This Row],[33 kV_Wind_F2_Export_reading]]-CL108)*1200,0)</f>
        <v>0</v>
      </c>
      <c r="CU109" s="105">
        <f>IF(((Input_Raw[[#This Row],[33 kV_Wind_F2_Import_reading]]-CM108)*1200)&gt;0,(Input_Raw[[#This Row],[33 kV_Wind_F2_Import_reading]]-CM108)*1200,0)</f>
        <v>0</v>
      </c>
      <c r="CV109" s="105">
        <f>IF(((Input_Raw[[#This Row],[33 kV_Wind_F3_Export_Reading]]-CN108)*1200)&gt;0,(Input_Raw[[#This Row],[33 kV_Wind_F3_Export_Reading]]-CN108)*1200,0)</f>
        <v>0</v>
      </c>
      <c r="CW109" s="105">
        <f>IF(((Input_Raw[[#This Row],[33 kV_Wind_F3_Import_Reading]]-CO108)*1200)&gt;0,(Input_Raw[[#This Row],[33 kV_Wind_F3_Import_Reading]]-CO108)*1200,0)</f>
        <v>0</v>
      </c>
      <c r="CX109" s="105">
        <f>IF(((Input_Raw[[#This Row],[33 kV_Wind_F4_Export Reading]]-CP108)*1200)&gt;0,(Input_Raw[[#This Row],[33 kV_Wind_F4_Export Reading]]-CP108)*1200,0)</f>
        <v>0</v>
      </c>
      <c r="CY109" s="188"/>
      <c r="CZ109" s="188">
        <f>Input_Raw[[#This Row],[33 kV_F1_Total_Export (KWh)]]+Input_Raw[[#This Row],[33 kV_F2_Total_Export (KWh)2]]+Input_Raw[[#This Row],[33 kV_Wind_F3_Export (KWh)]]+Input_Raw[[#This Row],[33 kV_Wind_F4_Export (KWh)]]</f>
        <v>0</v>
      </c>
      <c r="DA109" s="188">
        <f>Input_Raw[[#This Row],[33 kV_Wind_F1_Import (KWh)]]+Input_Raw[[#This Row],[33 kV_Wind_F2_Import (KWh)]]+Input_Raw[[#This Row],[33 kV_Wind_F3_Import (KWh)2]]+Input_Raw[[#This Row],[33 kV_Wind_F4_Import (KWh)2]]</f>
        <v>0</v>
      </c>
      <c r="DB109" s="21">
        <f>IFERROR(1-Input_Raw[[#This Row],[33 kV_Wind_Total_Export (KWh)]]/Input_Raw[[#This Row],[WTG Total Gneration (KWh)]],0)</f>
        <v>0</v>
      </c>
      <c r="DC109" s="116"/>
      <c r="DD109" s="116"/>
      <c r="DE109" s="118"/>
      <c r="DF109" s="115"/>
      <c r="DG109" s="117"/>
      <c r="DH109" s="115"/>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7">
        <f>SUM(Input_Raw[[#This Row],[G01]:[G40]])</f>
        <v>0</v>
      </c>
      <c r="CG110" s="18" t="str">
        <f>IFERROR(AVERAGE(Input_Raw[[#This Row],[WS_G01]:[WS_G40]]),"")</f>
        <v/>
      </c>
      <c r="CH110" s="19"/>
      <c r="CI110" s="19"/>
      <c r="CJ110" s="15"/>
      <c r="CK110" s="15"/>
      <c r="CL110" s="15"/>
      <c r="CM110" s="15"/>
      <c r="CN110" s="15"/>
      <c r="CO110" s="15"/>
      <c r="CP110" s="15"/>
      <c r="CQ110" s="15"/>
      <c r="CR110" s="105">
        <f>IF(((Input_Raw[[#This Row],[33 kV_Wind_F1_Export reading]]-CJ109)*1200)&gt;0,(Input_Raw[[#This Row],[33 kV_Wind_F1_Export reading]]-CJ109)*1200,0)</f>
        <v>0</v>
      </c>
      <c r="CS110" s="105">
        <f>IF(((Input_Raw[[#This Row],[33 kV_Wind_F1_Import reading]]-CK109)*1200)&gt;0,(Input_Raw[[#This Row],[33 kV_Wind_F1_Import reading]]-CK109)*1200,0)</f>
        <v>0</v>
      </c>
      <c r="CT110" s="105">
        <f>IF(((Input_Raw[[#This Row],[33 kV_Wind_F2_Export_reading]]-CL109)*1200)&gt;0,(Input_Raw[[#This Row],[33 kV_Wind_F2_Export_reading]]-CL109)*1200,0)</f>
        <v>0</v>
      </c>
      <c r="CU110" s="105">
        <f>IF(((Input_Raw[[#This Row],[33 kV_Wind_F2_Import_reading]]-CM109)*1200)&gt;0,(Input_Raw[[#This Row],[33 kV_Wind_F2_Import_reading]]-CM109)*1200,0)</f>
        <v>0</v>
      </c>
      <c r="CV110" s="105">
        <f>IF(((Input_Raw[[#This Row],[33 kV_Wind_F3_Export_Reading]]-CN109)*1200)&gt;0,(Input_Raw[[#This Row],[33 kV_Wind_F3_Export_Reading]]-CN109)*1200,0)</f>
        <v>0</v>
      </c>
      <c r="CW110" s="105">
        <f>IF(((Input_Raw[[#This Row],[33 kV_Wind_F3_Import_Reading]]-CO109)*1200)&gt;0,(Input_Raw[[#This Row],[33 kV_Wind_F3_Import_Reading]]-CO109)*1200,0)</f>
        <v>0</v>
      </c>
      <c r="CX110" s="105">
        <f>IF(((Input_Raw[[#This Row],[33 kV_Wind_F4_Export Reading]]-CP109)*1200)&gt;0,(Input_Raw[[#This Row],[33 kV_Wind_F4_Export Reading]]-CP109)*1200,0)</f>
        <v>0</v>
      </c>
      <c r="CY110" s="188"/>
      <c r="CZ110" s="188">
        <f>Input_Raw[[#This Row],[33 kV_F1_Total_Export (KWh)]]+Input_Raw[[#This Row],[33 kV_F2_Total_Export (KWh)2]]+Input_Raw[[#This Row],[33 kV_Wind_F3_Export (KWh)]]+Input_Raw[[#This Row],[33 kV_Wind_F4_Export (KWh)]]</f>
        <v>0</v>
      </c>
      <c r="DA110" s="188">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0</v>
      </c>
      <c r="DC110" s="116"/>
      <c r="DD110" s="116"/>
      <c r="DE110" s="118"/>
      <c r="DF110" s="115"/>
      <c r="DG110" s="117"/>
      <c r="DH110" s="115"/>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7">
        <f>SUM(Input_Raw[[#This Row],[G01]:[G40]])</f>
        <v>0</v>
      </c>
      <c r="CG111" s="18" t="str">
        <f>IFERROR(AVERAGE(Input_Raw[[#This Row],[WS_G01]:[WS_G40]]),"")</f>
        <v/>
      </c>
      <c r="CH111" s="19"/>
      <c r="CI111" s="19"/>
      <c r="CJ111" s="15"/>
      <c r="CK111" s="15"/>
      <c r="CL111" s="15"/>
      <c r="CM111" s="15"/>
      <c r="CN111" s="15"/>
      <c r="CO111" s="15"/>
      <c r="CP111" s="15"/>
      <c r="CQ111" s="15"/>
      <c r="CR111" s="188">
        <f>(Input_Raw[[#This Row],[33 kV_Wind_F1_Export reading]]-CJ110)*1200</f>
        <v>0</v>
      </c>
      <c r="CS111" s="105">
        <f>IF(((Input_Raw[[#This Row],[33 kV_Wind_F1_Import reading]]-CK110)*1200)&gt;0,(Input_Raw[[#This Row],[33 kV_Wind_F1_Import reading]]-CK110)*1200,0)</f>
        <v>0</v>
      </c>
      <c r="CT111" s="105">
        <f>IF(((Input_Raw[[#This Row],[33 kV_Wind_F2_Export_reading]]-CL110)*1200)&gt;0,(Input_Raw[[#This Row],[33 kV_Wind_F2_Export_reading]]-CL110)*1200,0)</f>
        <v>0</v>
      </c>
      <c r="CU111" s="105">
        <f>IF(((Input_Raw[[#This Row],[33 kV_Wind_F2_Import_reading]]-CM110)*1200)&gt;0,(Input_Raw[[#This Row],[33 kV_Wind_F2_Import_reading]]-CM110)*1200,0)</f>
        <v>0</v>
      </c>
      <c r="CV111" s="105">
        <f>IF(((Input_Raw[[#This Row],[33 kV_Wind_F3_Export_Reading]]-CN110)*1200)&gt;0,(Input_Raw[[#This Row],[33 kV_Wind_F3_Export_Reading]]-CN110)*1200,0)</f>
        <v>0</v>
      </c>
      <c r="CW111" s="105">
        <f>IF(((Input_Raw[[#This Row],[33 kV_Wind_F3_Import_Reading]]-CO110)*1200)&gt;0,(Input_Raw[[#This Row],[33 kV_Wind_F3_Import_Reading]]-CO110)*1200,0)</f>
        <v>0</v>
      </c>
      <c r="CX111" s="105">
        <f>IF(((Input_Raw[[#This Row],[33 kV_Wind_F4_Export Reading]]-CP110)*1200)&gt;0,(Input_Raw[[#This Row],[33 kV_Wind_F4_Export Reading]]-CP110)*1200,0)</f>
        <v>0</v>
      </c>
      <c r="CY111" s="188"/>
      <c r="CZ111" s="188">
        <f>Input_Raw[[#This Row],[33 kV_F1_Total_Export (KWh)]]+Input_Raw[[#This Row],[33 kV_F2_Total_Export (KWh)2]]+Input_Raw[[#This Row],[33 kV_Wind_F3_Export (KWh)]]+Input_Raw[[#This Row],[33 kV_Wind_F4_Export (KWh)]]</f>
        <v>0</v>
      </c>
      <c r="DA111" s="188">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0</v>
      </c>
      <c r="DC111" s="116"/>
      <c r="DD111" s="116"/>
      <c r="DE111" s="118"/>
      <c r="DF111" s="115"/>
      <c r="DG111" s="117"/>
      <c r="DH111" s="115"/>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7">
        <f>SUM(Input_Raw[[#This Row],[G01]:[G40]])</f>
        <v>0</v>
      </c>
      <c r="CG112" s="18" t="str">
        <f>IFERROR(AVERAGE(Input_Raw[[#This Row],[WS_G01]:[WS_G40]]),"")</f>
        <v/>
      </c>
      <c r="CH112" s="19"/>
      <c r="CI112" s="19"/>
      <c r="CJ112" s="15"/>
      <c r="CK112" s="15"/>
      <c r="CL112" s="15"/>
      <c r="CM112" s="15"/>
      <c r="CN112" s="15"/>
      <c r="CO112" s="15"/>
      <c r="CP112" s="15"/>
      <c r="CQ112" s="15"/>
      <c r="CR112" s="188">
        <f>(Input_Raw[[#This Row],[33 kV_Wind_F1_Export reading]]-CJ111)*1200</f>
        <v>0</v>
      </c>
      <c r="CS112" s="105">
        <f>IF(((Input_Raw[[#This Row],[33 kV_Wind_F1_Import reading]]-CK111)*1200)&gt;0,(Input_Raw[[#This Row],[33 kV_Wind_F1_Import reading]]-CK111)*1200,0)</f>
        <v>0</v>
      </c>
      <c r="CT112" s="105">
        <f>IF(((Input_Raw[[#This Row],[33 kV_Wind_F2_Export_reading]]-CL111)*1200)&gt;0,(Input_Raw[[#This Row],[33 kV_Wind_F2_Export_reading]]-CL111)*1200,0)</f>
        <v>0</v>
      </c>
      <c r="CU112" s="105">
        <f>IF(((Input_Raw[[#This Row],[33 kV_Wind_F2_Import_reading]]-CM111)*1200)&gt;0,(Input_Raw[[#This Row],[33 kV_Wind_F2_Import_reading]]-CM111)*1200,0)</f>
        <v>0</v>
      </c>
      <c r="CV112" s="105">
        <f>IF(((Input_Raw[[#This Row],[33 kV_Wind_F3_Export_Reading]]-CN111)*1200)&gt;0,(Input_Raw[[#This Row],[33 kV_Wind_F3_Export_Reading]]-CN111)*1200,0)</f>
        <v>0</v>
      </c>
      <c r="CW112" s="105">
        <f>IF(((Input_Raw[[#This Row],[33 kV_Wind_F3_Import_Reading]]-CO111)*1200)&gt;0,(Input_Raw[[#This Row],[33 kV_Wind_F3_Import_Reading]]-CO111)*1200,0)</f>
        <v>0</v>
      </c>
      <c r="CX112" s="105">
        <f>IF(((Input_Raw[[#This Row],[33 kV_Wind_F4_Export Reading]]-CP111)*1200)&gt;0,(Input_Raw[[#This Row],[33 kV_Wind_F4_Export Reading]]-CP111)*1200,0)</f>
        <v>0</v>
      </c>
      <c r="CY112" s="188"/>
      <c r="CZ112" s="188">
        <f>Input_Raw[[#This Row],[33 kV_F1_Total_Export (KWh)]]+Input_Raw[[#This Row],[33 kV_F2_Total_Export (KWh)2]]+Input_Raw[[#This Row],[33 kV_Wind_F3_Export (KWh)]]+Input_Raw[[#This Row],[33 kV_Wind_F4_Export (KWh)]]</f>
        <v>0</v>
      </c>
      <c r="DA112" s="188">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0</v>
      </c>
      <c r="DC112" s="116"/>
      <c r="DD112" s="116"/>
      <c r="DE112" s="118"/>
      <c r="DF112" s="115"/>
      <c r="DG112" s="117"/>
      <c r="DH112" s="115"/>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7">
        <f>SUM(Input_Raw[[#This Row],[G01]:[G40]])</f>
        <v>0</v>
      </c>
      <c r="CG113" s="18" t="str">
        <f>IFERROR(AVERAGE(Input_Raw[[#This Row],[WS_G01]:[WS_G40]]),"")</f>
        <v/>
      </c>
      <c r="CH113" s="19"/>
      <c r="CI113" s="19"/>
      <c r="CJ113" s="15"/>
      <c r="CK113" s="15"/>
      <c r="CL113" s="15"/>
      <c r="CM113" s="15"/>
      <c r="CN113" s="15"/>
      <c r="CO113" s="15"/>
      <c r="CP113" s="15"/>
      <c r="CQ113" s="15"/>
      <c r="CR113" s="188">
        <f>(Input_Raw[[#This Row],[33 kV_Wind_F1_Export reading]]-CJ112)*1200</f>
        <v>0</v>
      </c>
      <c r="CS113" s="105">
        <f>IF(((Input_Raw[[#This Row],[33 kV_Wind_F1_Import reading]]-CK112)*1200)&gt;0,(Input_Raw[[#This Row],[33 kV_Wind_F1_Import reading]]-CK112)*1200,0)</f>
        <v>0</v>
      </c>
      <c r="CT113" s="105">
        <f>IF(((Input_Raw[[#This Row],[33 kV_Wind_F2_Export_reading]]-CL112)*1200)&gt;0,(Input_Raw[[#This Row],[33 kV_Wind_F2_Export_reading]]-CL112)*1200,0)</f>
        <v>0</v>
      </c>
      <c r="CU113" s="105">
        <f>IF(((Input_Raw[[#This Row],[33 kV_Wind_F2_Import_reading]]-CM112)*1200)&gt;0,(Input_Raw[[#This Row],[33 kV_Wind_F2_Import_reading]]-CM112)*1200,0)</f>
        <v>0</v>
      </c>
      <c r="CV113" s="105">
        <f>IF(((Input_Raw[[#This Row],[33 kV_Wind_F3_Export_Reading]]-CN112)*1200)&gt;0,(Input_Raw[[#This Row],[33 kV_Wind_F3_Export_Reading]]-CN112)*1200,0)</f>
        <v>0</v>
      </c>
      <c r="CW113" s="105">
        <f>IF(((Input_Raw[[#This Row],[33 kV_Wind_F3_Import_Reading]]-CO112)*1200)&gt;0,(Input_Raw[[#This Row],[33 kV_Wind_F3_Import_Reading]]-CO112)*1200,0)</f>
        <v>0</v>
      </c>
      <c r="CX113" s="105">
        <f>IF(((Input_Raw[[#This Row],[33 kV_Wind_F4_Export Reading]]-CP112)*1200)&gt;0,(Input_Raw[[#This Row],[33 kV_Wind_F4_Export Reading]]-CP112)*1200,0)</f>
        <v>0</v>
      </c>
      <c r="CY113" s="188"/>
      <c r="CZ113" s="188">
        <f>Input_Raw[[#This Row],[33 kV_F1_Total_Export (KWh)]]+Input_Raw[[#This Row],[33 kV_F2_Total_Export (KWh)2]]+Input_Raw[[#This Row],[33 kV_Wind_F3_Export (KWh)]]+Input_Raw[[#This Row],[33 kV_Wind_F4_Export (KWh)]]</f>
        <v>0</v>
      </c>
      <c r="DA113" s="188">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0</v>
      </c>
      <c r="DC113" s="116"/>
      <c r="DD113" s="116"/>
      <c r="DE113" s="118"/>
      <c r="DF113" s="115"/>
      <c r="DG113" s="117"/>
      <c r="DH113" s="115"/>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7">
        <f>SUM(Input_Raw[[#This Row],[G01]:[G40]])</f>
        <v>0</v>
      </c>
      <c r="CG114" s="18" t="str">
        <f>IFERROR(AVERAGE(Input_Raw[[#This Row],[WS_G01]:[WS_G40]]),"")</f>
        <v/>
      </c>
      <c r="CH114" s="19"/>
      <c r="CI114" s="19"/>
      <c r="CJ114" s="15"/>
      <c r="CK114" s="15"/>
      <c r="CL114" s="15"/>
      <c r="CM114" s="15"/>
      <c r="CN114" s="15"/>
      <c r="CO114" s="15"/>
      <c r="CP114" s="15"/>
      <c r="CQ114" s="15"/>
      <c r="CR114" s="188">
        <f>(Input_Raw[[#This Row],[33 kV_Wind_F1_Export reading]]-CJ113)*1200</f>
        <v>0</v>
      </c>
      <c r="CS114" s="105">
        <f>IF(((Input_Raw[[#This Row],[33 kV_Wind_F1_Import reading]]-CK113)*1200)&gt;0,(Input_Raw[[#This Row],[33 kV_Wind_F1_Import reading]]-CK113)*1200,0)</f>
        <v>0</v>
      </c>
      <c r="CT114" s="105">
        <f>IF(((Input_Raw[[#This Row],[33 kV_Wind_F2_Export_reading]]-CL113)*1200)&gt;0,(Input_Raw[[#This Row],[33 kV_Wind_F2_Export_reading]]-CL113)*1200,0)</f>
        <v>0</v>
      </c>
      <c r="CU114" s="105">
        <f>IF(((Input_Raw[[#This Row],[33 kV_Wind_F2_Import_reading]]-CM113)*1200)&gt;0,(Input_Raw[[#This Row],[33 kV_Wind_F2_Import_reading]]-CM113)*1200,0)</f>
        <v>0</v>
      </c>
      <c r="CV114" s="105">
        <f>IF(((Input_Raw[[#This Row],[33 kV_Wind_F3_Export_Reading]]-CN113)*1200)&gt;0,(Input_Raw[[#This Row],[33 kV_Wind_F3_Export_Reading]]-CN113)*1200,0)</f>
        <v>0</v>
      </c>
      <c r="CW114" s="105">
        <f>IF(((Input_Raw[[#This Row],[33 kV_Wind_F3_Import_Reading]]-CO113)*1200)&gt;0,(Input_Raw[[#This Row],[33 kV_Wind_F3_Import_Reading]]-CO113)*1200,0)</f>
        <v>0</v>
      </c>
      <c r="CX114" s="105">
        <f>IF(((Input_Raw[[#This Row],[33 kV_Wind_F4_Export Reading]]-CP113)*1200)&gt;0,(Input_Raw[[#This Row],[33 kV_Wind_F4_Export Reading]]-CP113)*1200,0)</f>
        <v>0</v>
      </c>
      <c r="CY114" s="188"/>
      <c r="CZ114" s="188">
        <f>Input_Raw[[#This Row],[33 kV_F1_Total_Export (KWh)]]+Input_Raw[[#This Row],[33 kV_F2_Total_Export (KWh)2]]+Input_Raw[[#This Row],[33 kV_Wind_F3_Export (KWh)]]+Input_Raw[[#This Row],[33 kV_Wind_F4_Export (KWh)]]</f>
        <v>0</v>
      </c>
      <c r="DA114" s="188">
        <f>Input_Raw[[#This Row],[33 kV_Wind_F1_Import (KWh)]]+Input_Raw[[#This Row],[33 kV_Wind_F2_Import (KWh)]]+Input_Raw[[#This Row],[33 kV_Wind_F3_Import (KWh)2]]+Input_Raw[[#This Row],[33 kV_Wind_F4_Import (KWh)2]]</f>
        <v>0</v>
      </c>
      <c r="DB114" s="21">
        <f>IFERROR(1-Input_Raw[[#This Row],[33 kV_Wind_Total_Export (KWh)]]/Input_Raw[[#This Row],[WTG Total Gneration (KWh)]],0)</f>
        <v>0</v>
      </c>
      <c r="DC114" s="116"/>
      <c r="DD114" s="116"/>
      <c r="DE114" s="118"/>
      <c r="DF114" s="115"/>
      <c r="DG114" s="117"/>
      <c r="DH114" s="115"/>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188">
        <f>(Input_Raw[[#This Row],[33 kV_Wind_F1_Export reading]]-CJ114)*1200</f>
        <v>0</v>
      </c>
      <c r="CS115" s="105">
        <f>IF(((Input_Raw[[#This Row],[33 kV_Wind_F1_Import reading]]-CK114)*1200)&gt;0,(Input_Raw[[#This Row],[33 kV_Wind_F1_Import reading]]-CK114)*1200,0)</f>
        <v>0</v>
      </c>
      <c r="CT115" s="105">
        <f>IF(((Input_Raw[[#This Row],[33 kV_Wind_F2_Export_reading]]-CL114)*1200)&gt;0,(Input_Raw[[#This Row],[33 kV_Wind_F2_Export_reading]]-CL114)*1200,0)</f>
        <v>0</v>
      </c>
      <c r="CU115" s="105">
        <f>IF(((Input_Raw[[#This Row],[33 kV_Wind_F2_Import_reading]]-CM114)*1200)&gt;0,(Input_Raw[[#This Row],[33 kV_Wind_F2_Import_reading]]-CM114)*1200,0)</f>
        <v>0</v>
      </c>
      <c r="CV115" s="105">
        <f>IF(((Input_Raw[[#This Row],[33 kV_Wind_F3_Export_Reading]]-CN114)*1200)&gt;0,(Input_Raw[[#This Row],[33 kV_Wind_F3_Export_Reading]]-CN114)*1200,0)</f>
        <v>0</v>
      </c>
      <c r="CW115" s="105">
        <f>IF(((Input_Raw[[#This Row],[33 kV_Wind_F3_Import_Reading]]-CO114)*1200)&gt;0,(Input_Raw[[#This Row],[33 kV_Wind_F3_Import_Reading]]-CO114)*1200,0)</f>
        <v>0</v>
      </c>
      <c r="CX115" s="105">
        <f>IF(((Input_Raw[[#This Row],[33 kV_Wind_F4_Export Reading]]-CP114)*1200)&gt;0,(Input_Raw[[#This Row],[33 kV_Wind_F4_Export Reading]]-CP114)*1200,0)</f>
        <v>0</v>
      </c>
      <c r="CY115" s="188"/>
      <c r="CZ115" s="188">
        <f>Input_Raw[[#This Row],[33 kV_F1_Total_Export (KWh)]]+Input_Raw[[#This Row],[33 kV_F2_Total_Export (KWh)2]]+Input_Raw[[#This Row],[33 kV_Wind_F3_Export (KWh)]]+Input_Raw[[#This Row],[33 kV_Wind_F4_Export (KWh)]]</f>
        <v>0</v>
      </c>
      <c r="DA115" s="188">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16"/>
      <c r="DD115" s="116"/>
      <c r="DE115" s="118"/>
      <c r="DF115" s="115"/>
      <c r="DG115" s="117"/>
      <c r="DH115" s="115"/>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188">
        <f>(Input_Raw[[#This Row],[33 kV_Wind_F1_Export reading]]-CJ115)*1200</f>
        <v>0</v>
      </c>
      <c r="CS116" s="105">
        <f>IF(((Input_Raw[[#This Row],[33 kV_Wind_F1_Import reading]]-CK115)*1200)&gt;0,(Input_Raw[[#This Row],[33 kV_Wind_F1_Import reading]]-CK115)*1200,0)</f>
        <v>0</v>
      </c>
      <c r="CT116" s="105">
        <f>IF(((Input_Raw[[#This Row],[33 kV_Wind_F2_Export_reading]]-CL115)*1200)&gt;0,(Input_Raw[[#This Row],[33 kV_Wind_F2_Export_reading]]-CL115)*1200,0)</f>
        <v>0</v>
      </c>
      <c r="CU116" s="105">
        <f>IF(((Input_Raw[[#This Row],[33 kV_Wind_F2_Import_reading]]-CM115)*1200)&gt;0,(Input_Raw[[#This Row],[33 kV_Wind_F2_Import_reading]]-CM115)*1200,0)</f>
        <v>0</v>
      </c>
      <c r="CV116" s="105">
        <f>IF(((Input_Raw[[#This Row],[33 kV_Wind_F3_Export_Reading]]-CN115)*1200)&gt;0,(Input_Raw[[#This Row],[33 kV_Wind_F3_Export_Reading]]-CN115)*1200,0)</f>
        <v>0</v>
      </c>
      <c r="CW116" s="105">
        <f>IF(((Input_Raw[[#This Row],[33 kV_Wind_F3_Import_Reading]]-CO115)*1200)&gt;0,(Input_Raw[[#This Row],[33 kV_Wind_F3_Import_Reading]]-CO115)*1200,0)</f>
        <v>0</v>
      </c>
      <c r="CX116" s="105">
        <f>IF(((Input_Raw[[#This Row],[33 kV_Wind_F4_Export Reading]]-CP115)*1200)&gt;0,(Input_Raw[[#This Row],[33 kV_Wind_F4_Export Reading]]-CP115)*1200,0)</f>
        <v>0</v>
      </c>
      <c r="CY116" s="188"/>
      <c r="CZ116" s="188">
        <f>Input_Raw[[#This Row],[33 kV_F1_Total_Export (KWh)]]+Input_Raw[[#This Row],[33 kV_F2_Total_Export (KWh)2]]+Input_Raw[[#This Row],[33 kV_Wind_F3_Export (KWh)]]+Input_Raw[[#This Row],[33 kV_Wind_F4_Export (KWh)]]</f>
        <v>0</v>
      </c>
      <c r="DA116" s="188">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16"/>
      <c r="DD116" s="116"/>
      <c r="DE116" s="118"/>
      <c r="DF116" s="115"/>
      <c r="DG116" s="117"/>
      <c r="DH116" s="115"/>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188">
        <f>(Input_Raw[[#This Row],[33 kV_Wind_F1_Export reading]]-CJ116)*1200</f>
        <v>0</v>
      </c>
      <c r="CS117" s="105">
        <f>IF(((Input_Raw[[#This Row],[33 kV_Wind_F1_Import reading]]-CK116)*1200)&gt;0,(Input_Raw[[#This Row],[33 kV_Wind_F1_Import reading]]-CK116)*1200,0)</f>
        <v>0</v>
      </c>
      <c r="CT117" s="105">
        <f>IF(((Input_Raw[[#This Row],[33 kV_Wind_F2_Export_reading]]-CL116)*1200)&gt;0,(Input_Raw[[#This Row],[33 kV_Wind_F2_Export_reading]]-CL116)*1200,0)</f>
        <v>0</v>
      </c>
      <c r="CU117" s="105">
        <f>IF(((Input_Raw[[#This Row],[33 kV_Wind_F2_Import_reading]]-CM116)*1200)&gt;0,(Input_Raw[[#This Row],[33 kV_Wind_F2_Import_reading]]-CM116)*1200,0)</f>
        <v>0</v>
      </c>
      <c r="CV117" s="105">
        <f>IF(((Input_Raw[[#This Row],[33 kV_Wind_F3_Export_Reading]]-CN116)*1200)&gt;0,(Input_Raw[[#This Row],[33 kV_Wind_F3_Export_Reading]]-CN116)*1200,0)</f>
        <v>0</v>
      </c>
      <c r="CW117" s="105">
        <f>IF(((Input_Raw[[#This Row],[33 kV_Wind_F3_Import_Reading]]-CO116)*1200)&gt;0,(Input_Raw[[#This Row],[33 kV_Wind_F3_Import_Reading]]-CO116)*1200,0)</f>
        <v>0</v>
      </c>
      <c r="CX117" s="105">
        <f>IF(((Input_Raw[[#This Row],[33 kV_Wind_F4_Export Reading]]-CP116)*1200)&gt;0,(Input_Raw[[#This Row],[33 kV_Wind_F4_Export Reading]]-CP116)*1200,0)</f>
        <v>0</v>
      </c>
      <c r="CY117" s="188"/>
      <c r="CZ117" s="188">
        <f>Input_Raw[[#This Row],[33 kV_F1_Total_Export (KWh)]]+Input_Raw[[#This Row],[33 kV_F2_Total_Export (KWh)2]]+Input_Raw[[#This Row],[33 kV_Wind_F3_Export (KWh)]]+Input_Raw[[#This Row],[33 kV_Wind_F4_Export (KWh)]]</f>
        <v>0</v>
      </c>
      <c r="DA117" s="188">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16"/>
      <c r="DD117" s="116"/>
      <c r="DE117" s="118"/>
      <c r="DF117" s="115"/>
      <c r="DG117" s="117"/>
      <c r="DH117" s="115"/>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188">
        <f>(Input_Raw[[#This Row],[33 kV_Wind_F1_Export reading]]-CJ117)*1200</f>
        <v>0</v>
      </c>
      <c r="CS118" s="105">
        <f>IF(((Input_Raw[[#This Row],[33 kV_Wind_F1_Import reading]]-CK117)*1200)&gt;0,(Input_Raw[[#This Row],[33 kV_Wind_F1_Import reading]]-CK117)*1200,0)</f>
        <v>0</v>
      </c>
      <c r="CT118" s="105">
        <f>IF(((Input_Raw[[#This Row],[33 kV_Wind_F2_Export_reading]]-CL117)*1200)&gt;0,(Input_Raw[[#This Row],[33 kV_Wind_F2_Export_reading]]-CL117)*1200,0)</f>
        <v>0</v>
      </c>
      <c r="CU118" s="105">
        <f>IF(((Input_Raw[[#This Row],[33 kV_Wind_F2_Import_reading]]-CM117)*1200)&gt;0,(Input_Raw[[#This Row],[33 kV_Wind_F2_Import_reading]]-CM117)*1200,0)</f>
        <v>0</v>
      </c>
      <c r="CV118" s="105">
        <f>IF(((Input_Raw[[#This Row],[33 kV_Wind_F3_Export_Reading]]-CN117)*1200)&gt;0,(Input_Raw[[#This Row],[33 kV_Wind_F3_Export_Reading]]-CN117)*1200,0)</f>
        <v>0</v>
      </c>
      <c r="CW118" s="105">
        <f>IF(((Input_Raw[[#This Row],[33 kV_Wind_F3_Import_Reading]]-CO117)*1200)&gt;0,(Input_Raw[[#This Row],[33 kV_Wind_F3_Import_Reading]]-CO117)*1200,0)</f>
        <v>0</v>
      </c>
      <c r="CX118" s="105">
        <f>IF(((Input_Raw[[#This Row],[33 kV_Wind_F4_Export Reading]]-CP117)*1200)&gt;0,(Input_Raw[[#This Row],[33 kV_Wind_F4_Export Reading]]-CP117)*1200,0)</f>
        <v>0</v>
      </c>
      <c r="CY118" s="188"/>
      <c r="CZ118" s="188">
        <f>Input_Raw[[#This Row],[33 kV_F1_Total_Export (KWh)]]+Input_Raw[[#This Row],[33 kV_F2_Total_Export (KWh)2]]+Input_Raw[[#This Row],[33 kV_Wind_F3_Export (KWh)]]+Input_Raw[[#This Row],[33 kV_Wind_F4_Export (KWh)]]</f>
        <v>0</v>
      </c>
      <c r="DA118" s="188">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16"/>
      <c r="DD118" s="116"/>
      <c r="DE118" s="118"/>
      <c r="DF118" s="115"/>
      <c r="DG118" s="117"/>
      <c r="DH118" s="115"/>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188">
        <f>(Input_Raw[[#This Row],[33 kV_Wind_F1_Export reading]]-CJ118)*1200</f>
        <v>0</v>
      </c>
      <c r="CS119" s="105">
        <f>IF(((Input_Raw[[#This Row],[33 kV_Wind_F1_Import reading]]-CK118)*1200)&gt;0,(Input_Raw[[#This Row],[33 kV_Wind_F1_Import reading]]-CK118)*1200,0)</f>
        <v>0</v>
      </c>
      <c r="CT119" s="105">
        <f>IF(((Input_Raw[[#This Row],[33 kV_Wind_F2_Export_reading]]-CL118)*1200)&gt;0,(Input_Raw[[#This Row],[33 kV_Wind_F2_Export_reading]]-CL118)*1200,0)</f>
        <v>0</v>
      </c>
      <c r="CU119" s="105">
        <f>IF(((Input_Raw[[#This Row],[33 kV_Wind_F2_Import_reading]]-CM118)*1200)&gt;0,(Input_Raw[[#This Row],[33 kV_Wind_F2_Import_reading]]-CM118)*1200,0)</f>
        <v>0</v>
      </c>
      <c r="CV119" s="105">
        <f>IF(((Input_Raw[[#This Row],[33 kV_Wind_F3_Export_Reading]]-CN118)*1200)&gt;0,(Input_Raw[[#This Row],[33 kV_Wind_F3_Export_Reading]]-CN118)*1200,0)</f>
        <v>0</v>
      </c>
      <c r="CW119" s="105">
        <f>IF(((Input_Raw[[#This Row],[33 kV_Wind_F3_Import_Reading]]-CO118)*1200)&gt;0,(Input_Raw[[#This Row],[33 kV_Wind_F3_Import_Reading]]-CO118)*1200,0)</f>
        <v>0</v>
      </c>
      <c r="CX119" s="105">
        <f>IF(((Input_Raw[[#This Row],[33 kV_Wind_F4_Export Reading]]-CP118)*1200)&gt;0,(Input_Raw[[#This Row],[33 kV_Wind_F4_Export Reading]]-CP118)*1200,0)</f>
        <v>0</v>
      </c>
      <c r="CY119" s="188"/>
      <c r="CZ119" s="188">
        <f>Input_Raw[[#This Row],[33 kV_F1_Total_Export (KWh)]]+Input_Raw[[#This Row],[33 kV_F2_Total_Export (KWh)2]]+Input_Raw[[#This Row],[33 kV_Wind_F3_Export (KWh)]]+Input_Raw[[#This Row],[33 kV_Wind_F4_Export (KWh)]]</f>
        <v>0</v>
      </c>
      <c r="DA119" s="188">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16"/>
      <c r="DD119" s="116"/>
      <c r="DE119" s="118"/>
      <c r="DF119" s="115"/>
      <c r="DG119" s="117"/>
      <c r="DH119" s="115"/>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188">
        <f>(Input_Raw[[#This Row],[33 kV_Wind_F1_Export reading]]-CJ119)*1200</f>
        <v>0</v>
      </c>
      <c r="CS120" s="105">
        <f>IF(((Input_Raw[[#This Row],[33 kV_Wind_F1_Import reading]]-CK119)*1200)&gt;0,(Input_Raw[[#This Row],[33 kV_Wind_F1_Import reading]]-CK119)*1200,0)</f>
        <v>0</v>
      </c>
      <c r="CT120" s="105">
        <f>IF(((Input_Raw[[#This Row],[33 kV_Wind_F2_Export_reading]]-CL119)*1200)&gt;0,(Input_Raw[[#This Row],[33 kV_Wind_F2_Export_reading]]-CL119)*1200,0)</f>
        <v>0</v>
      </c>
      <c r="CU120" s="105">
        <f>IF(((Input_Raw[[#This Row],[33 kV_Wind_F2_Import_reading]]-CM119)*1200)&gt;0,(Input_Raw[[#This Row],[33 kV_Wind_F2_Import_reading]]-CM119)*1200,0)</f>
        <v>0</v>
      </c>
      <c r="CV120" s="105">
        <f>IF(((Input_Raw[[#This Row],[33 kV_Wind_F3_Export_Reading]]-CN119)*1200)&gt;0,(Input_Raw[[#This Row],[33 kV_Wind_F3_Export_Reading]]-CN119)*1200,0)</f>
        <v>0</v>
      </c>
      <c r="CW120" s="105">
        <f>IF(((Input_Raw[[#This Row],[33 kV_Wind_F3_Import_Reading]]-CO119)*1200)&gt;0,(Input_Raw[[#This Row],[33 kV_Wind_F3_Import_Reading]]-CO119)*1200,0)</f>
        <v>0</v>
      </c>
      <c r="CX120" s="105">
        <f>IF(((Input_Raw[[#This Row],[33 kV_Wind_F4_Export Reading]]-CP119)*1200)&gt;0,(Input_Raw[[#This Row],[33 kV_Wind_F4_Export Reading]]-CP119)*1200,0)</f>
        <v>0</v>
      </c>
      <c r="CY120" s="188"/>
      <c r="CZ120" s="188">
        <f>Input_Raw[[#This Row],[33 kV_F1_Total_Export (KWh)]]+Input_Raw[[#This Row],[33 kV_F2_Total_Export (KWh)2]]+Input_Raw[[#This Row],[33 kV_Wind_F3_Export (KWh)]]+Input_Raw[[#This Row],[33 kV_Wind_F4_Export (KWh)]]</f>
        <v>0</v>
      </c>
      <c r="DA120" s="188">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16"/>
      <c r="DD120" s="116"/>
      <c r="DE120" s="118"/>
      <c r="DF120" s="115"/>
      <c r="DG120" s="117"/>
      <c r="DH120" s="115"/>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188">
        <f>(Input_Raw[[#This Row],[33 kV_Wind_F1_Export reading]]-CJ120)*1200</f>
        <v>0</v>
      </c>
      <c r="CS121" s="105">
        <f>IF(((Input_Raw[[#This Row],[33 kV_Wind_F1_Import reading]]-CK120)*1200)&gt;0,(Input_Raw[[#This Row],[33 kV_Wind_F1_Import reading]]-CK120)*1200,0)</f>
        <v>0</v>
      </c>
      <c r="CT121" s="105">
        <f>IF(((Input_Raw[[#This Row],[33 kV_Wind_F2_Export_reading]]-CL120)*1200)&gt;0,(Input_Raw[[#This Row],[33 kV_Wind_F2_Export_reading]]-CL120)*1200,0)</f>
        <v>0</v>
      </c>
      <c r="CU121" s="105">
        <f>IF(((Input_Raw[[#This Row],[33 kV_Wind_F2_Import_reading]]-CM120)*1200)&gt;0,(Input_Raw[[#This Row],[33 kV_Wind_F2_Import_reading]]-CM120)*1200,0)</f>
        <v>0</v>
      </c>
      <c r="CV121" s="105">
        <f>IF(((Input_Raw[[#This Row],[33 kV_Wind_F3_Export_Reading]]-CN120)*1200)&gt;0,(Input_Raw[[#This Row],[33 kV_Wind_F3_Export_Reading]]-CN120)*1200,0)</f>
        <v>0</v>
      </c>
      <c r="CW121" s="105">
        <f>IF(((Input_Raw[[#This Row],[33 kV_Wind_F3_Import_Reading]]-CO120)*1200)&gt;0,(Input_Raw[[#This Row],[33 kV_Wind_F3_Import_Reading]]-CO120)*1200,0)</f>
        <v>0</v>
      </c>
      <c r="CX121" s="105">
        <f>IF(((Input_Raw[[#This Row],[33 kV_Wind_F4_Export Reading]]-CP120)*1200)&gt;0,(Input_Raw[[#This Row],[33 kV_Wind_F4_Export Reading]]-CP120)*1200,0)</f>
        <v>0</v>
      </c>
      <c r="CY121" s="188"/>
      <c r="CZ121" s="188">
        <f>Input_Raw[[#This Row],[33 kV_F1_Total_Export (KWh)]]+Input_Raw[[#This Row],[33 kV_F2_Total_Export (KWh)2]]+Input_Raw[[#This Row],[33 kV_Wind_F3_Export (KWh)]]+Input_Raw[[#This Row],[33 kV_Wind_F4_Export (KWh)]]</f>
        <v>0</v>
      </c>
      <c r="DA121" s="188">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16"/>
      <c r="DD121" s="116"/>
      <c r="DE121" s="118"/>
      <c r="DF121" s="115"/>
      <c r="DG121" s="117"/>
      <c r="DH121" s="115"/>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188">
        <f>(Input_Raw[[#This Row],[33 kV_Wind_F1_Export reading]]-CJ121)*1200</f>
        <v>0</v>
      </c>
      <c r="CS122" s="105">
        <f>IF(((Input_Raw[[#This Row],[33 kV_Wind_F1_Import reading]]-CK121)*1200)&gt;0,(Input_Raw[[#This Row],[33 kV_Wind_F1_Import reading]]-CK121)*1200,0)</f>
        <v>0</v>
      </c>
      <c r="CT122" s="105">
        <f>IF(((Input_Raw[[#This Row],[33 kV_Wind_F2_Export_reading]]-CL121)*1200)&gt;0,(Input_Raw[[#This Row],[33 kV_Wind_F2_Export_reading]]-CL121)*1200,0)</f>
        <v>0</v>
      </c>
      <c r="CU122" s="105">
        <f>IF(((Input_Raw[[#This Row],[33 kV_Wind_F2_Import_reading]]-CM121)*1200)&gt;0,(Input_Raw[[#This Row],[33 kV_Wind_F2_Import_reading]]-CM121)*1200,0)</f>
        <v>0</v>
      </c>
      <c r="CV122" s="105">
        <f>IF(((Input_Raw[[#This Row],[33 kV_Wind_F3_Export_Reading]]-CN121)*1200)&gt;0,(Input_Raw[[#This Row],[33 kV_Wind_F3_Export_Reading]]-CN121)*1200,0)</f>
        <v>0</v>
      </c>
      <c r="CW122" s="105">
        <f>IF(((Input_Raw[[#This Row],[33 kV_Wind_F3_Import_Reading]]-CO121)*1200)&gt;0,(Input_Raw[[#This Row],[33 kV_Wind_F3_Import_Reading]]-CO121)*1200,0)</f>
        <v>0</v>
      </c>
      <c r="CX122" s="105">
        <f>IF(((Input_Raw[[#This Row],[33 kV_Wind_F4_Export Reading]]-CP121)*1200)&gt;0,(Input_Raw[[#This Row],[33 kV_Wind_F4_Export Reading]]-CP121)*1200,0)</f>
        <v>0</v>
      </c>
      <c r="CY122" s="188"/>
      <c r="CZ122" s="188">
        <f>Input_Raw[[#This Row],[33 kV_F1_Total_Export (KWh)]]+Input_Raw[[#This Row],[33 kV_F2_Total_Export (KWh)2]]+Input_Raw[[#This Row],[33 kV_Wind_F3_Export (KWh)]]+Input_Raw[[#This Row],[33 kV_Wind_F4_Export (KWh)]]</f>
        <v>0</v>
      </c>
      <c r="DA122" s="188">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16"/>
      <c r="DD122" s="116"/>
      <c r="DE122" s="118"/>
      <c r="DF122" s="115"/>
      <c r="DG122" s="117"/>
      <c r="DH122" s="115"/>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188">
        <f>(Input_Raw[[#This Row],[33 kV_Wind_F1_Export reading]]-CJ122)*1200</f>
        <v>0</v>
      </c>
      <c r="CS123" s="105">
        <f>IF(((Input_Raw[[#This Row],[33 kV_Wind_F1_Import reading]]-CK122)*1200)&gt;0,(Input_Raw[[#This Row],[33 kV_Wind_F1_Import reading]]-CK122)*1200,0)</f>
        <v>0</v>
      </c>
      <c r="CT123" s="105">
        <f>IF(((Input_Raw[[#This Row],[33 kV_Wind_F2_Export_reading]]-CL122)*1200)&gt;0,(Input_Raw[[#This Row],[33 kV_Wind_F2_Export_reading]]-CL122)*1200,0)</f>
        <v>0</v>
      </c>
      <c r="CU123" s="105">
        <f>IF(((Input_Raw[[#This Row],[33 kV_Wind_F2_Import_reading]]-CM122)*1200)&gt;0,(Input_Raw[[#This Row],[33 kV_Wind_F2_Import_reading]]-CM122)*1200,0)</f>
        <v>0</v>
      </c>
      <c r="CV123" s="105">
        <f>IF(((Input_Raw[[#This Row],[33 kV_Wind_F3_Export_Reading]]-CN122)*1200)&gt;0,(Input_Raw[[#This Row],[33 kV_Wind_F3_Export_Reading]]-CN122)*1200,0)</f>
        <v>0</v>
      </c>
      <c r="CW123" s="105">
        <f>IF(((Input_Raw[[#This Row],[33 kV_Wind_F3_Import_Reading]]-CO122)*1200)&gt;0,(Input_Raw[[#This Row],[33 kV_Wind_F3_Import_Reading]]-CO122)*1200,0)</f>
        <v>0</v>
      </c>
      <c r="CX123" s="105">
        <f>IF(((Input_Raw[[#This Row],[33 kV_Wind_F4_Export Reading]]-CP122)*1200)&gt;0,(Input_Raw[[#This Row],[33 kV_Wind_F4_Export Reading]]-CP122)*1200,0)</f>
        <v>0</v>
      </c>
      <c r="CY123" s="188"/>
      <c r="CZ123" s="188">
        <f>Input_Raw[[#This Row],[33 kV_F1_Total_Export (KWh)]]+Input_Raw[[#This Row],[33 kV_F2_Total_Export (KWh)2]]+Input_Raw[[#This Row],[33 kV_Wind_F3_Export (KWh)]]+Input_Raw[[#This Row],[33 kV_Wind_F4_Export (KWh)]]</f>
        <v>0</v>
      </c>
      <c r="DA123" s="188">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16"/>
      <c r="DD123" s="116"/>
      <c r="DE123" s="118"/>
      <c r="DF123" s="115"/>
      <c r="DG123" s="117"/>
      <c r="DH123" s="115"/>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188">
        <f>(Input_Raw[[#This Row],[33 kV_Wind_F1_Export reading]]-CJ123)*1200</f>
        <v>0</v>
      </c>
      <c r="CS124" s="105">
        <f>IF(((Input_Raw[[#This Row],[33 kV_Wind_F1_Import reading]]-CK123)*1200)&gt;0,(Input_Raw[[#This Row],[33 kV_Wind_F1_Import reading]]-CK123)*1200,0)</f>
        <v>0</v>
      </c>
      <c r="CT124" s="105">
        <f>IF(((Input_Raw[[#This Row],[33 kV_Wind_F2_Export_reading]]-CL123)*1200)&gt;0,(Input_Raw[[#This Row],[33 kV_Wind_F2_Export_reading]]-CL123)*1200,0)</f>
        <v>0</v>
      </c>
      <c r="CU124" s="105">
        <f>IF(((Input_Raw[[#This Row],[33 kV_Wind_F2_Import_reading]]-CM123)*1200)&gt;0,(Input_Raw[[#This Row],[33 kV_Wind_F2_Import_reading]]-CM123)*1200,0)</f>
        <v>0</v>
      </c>
      <c r="CV124" s="105">
        <f>IF(((Input_Raw[[#This Row],[33 kV_Wind_F3_Export_Reading]]-CN123)*1200)&gt;0,(Input_Raw[[#This Row],[33 kV_Wind_F3_Export_Reading]]-CN123)*1200,0)</f>
        <v>0</v>
      </c>
      <c r="CW124" s="105">
        <f>IF(((Input_Raw[[#This Row],[33 kV_Wind_F3_Import_Reading]]-CO123)*1200)&gt;0,(Input_Raw[[#This Row],[33 kV_Wind_F3_Import_Reading]]-CO123)*1200,0)</f>
        <v>0</v>
      </c>
      <c r="CX124" s="105">
        <f>IF(((Input_Raw[[#This Row],[33 kV_Wind_F4_Export Reading]]-CP123)*1200)&gt;0,(Input_Raw[[#This Row],[33 kV_Wind_F4_Export Reading]]-CP123)*1200,0)</f>
        <v>0</v>
      </c>
      <c r="CY124" s="188"/>
      <c r="CZ124" s="188">
        <f>Input_Raw[[#This Row],[33 kV_F1_Total_Export (KWh)]]+Input_Raw[[#This Row],[33 kV_F2_Total_Export (KWh)2]]+Input_Raw[[#This Row],[33 kV_Wind_F3_Export (KWh)]]+Input_Raw[[#This Row],[33 kV_Wind_F4_Export (KWh)]]</f>
        <v>0</v>
      </c>
      <c r="DA124" s="188">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16"/>
      <c r="DD124" s="116"/>
      <c r="DE124" s="118"/>
      <c r="DF124" s="115"/>
      <c r="DG124" s="117"/>
      <c r="DH124" s="115"/>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188">
        <f>(Input_Raw[[#This Row],[33 kV_Wind_F1_Export reading]]-CJ124)*1200</f>
        <v>0</v>
      </c>
      <c r="CS125" s="105">
        <f>IF(((Input_Raw[[#This Row],[33 kV_Wind_F1_Import reading]]-CK124)*1200)&gt;0,(Input_Raw[[#This Row],[33 kV_Wind_F1_Import reading]]-CK124)*1200,0)</f>
        <v>0</v>
      </c>
      <c r="CT125" s="105">
        <f>IF(((Input_Raw[[#This Row],[33 kV_Wind_F2_Export_reading]]-CL124)*1200)&gt;0,(Input_Raw[[#This Row],[33 kV_Wind_F2_Export_reading]]-CL124)*1200,0)</f>
        <v>0</v>
      </c>
      <c r="CU125" s="105">
        <f>IF(((Input_Raw[[#This Row],[33 kV_Wind_F2_Import_reading]]-CM124)*1200)&gt;0,(Input_Raw[[#This Row],[33 kV_Wind_F2_Import_reading]]-CM124)*1200,0)</f>
        <v>0</v>
      </c>
      <c r="CV125" s="105">
        <f>IF(((Input_Raw[[#This Row],[33 kV_Wind_F3_Export_Reading]]-CN124)*1200)&gt;0,(Input_Raw[[#This Row],[33 kV_Wind_F3_Export_Reading]]-CN124)*1200,0)</f>
        <v>0</v>
      </c>
      <c r="CW125" s="105">
        <f>IF(((Input_Raw[[#This Row],[33 kV_Wind_F3_Import_Reading]]-CO124)*1200)&gt;0,(Input_Raw[[#This Row],[33 kV_Wind_F3_Import_Reading]]-CO124)*1200,0)</f>
        <v>0</v>
      </c>
      <c r="CX125" s="105">
        <f>IF(((Input_Raw[[#This Row],[33 kV_Wind_F4_Export Reading]]-CP124)*1200)&gt;0,(Input_Raw[[#This Row],[33 kV_Wind_F4_Export Reading]]-CP124)*1200,0)</f>
        <v>0</v>
      </c>
      <c r="CY125" s="188"/>
      <c r="CZ125" s="188">
        <f>Input_Raw[[#This Row],[33 kV_F1_Total_Export (KWh)]]+Input_Raw[[#This Row],[33 kV_F2_Total_Export (KWh)2]]+Input_Raw[[#This Row],[33 kV_Wind_F3_Export (KWh)]]+Input_Raw[[#This Row],[33 kV_Wind_F4_Export (KWh)]]</f>
        <v>0</v>
      </c>
      <c r="DA125" s="188">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16"/>
      <c r="DD125" s="116"/>
      <c r="DE125" s="118"/>
      <c r="DF125" s="115"/>
      <c r="DG125" s="117"/>
      <c r="DH125" s="115"/>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188">
        <f>(Input_Raw[[#This Row],[33 kV_Wind_F1_Export reading]]-CJ125)*1200</f>
        <v>0</v>
      </c>
      <c r="CS126" s="105">
        <f>IF(((Input_Raw[[#This Row],[33 kV_Wind_F1_Import reading]]-CK125)*1200)&gt;0,(Input_Raw[[#This Row],[33 kV_Wind_F1_Import reading]]-CK125)*1200,0)</f>
        <v>0</v>
      </c>
      <c r="CT126" s="105">
        <f>IF(((Input_Raw[[#This Row],[33 kV_Wind_F2_Export_reading]]-CL125)*1200)&gt;0,(Input_Raw[[#This Row],[33 kV_Wind_F2_Export_reading]]-CL125)*1200,0)</f>
        <v>0</v>
      </c>
      <c r="CU126" s="105">
        <f>IF(((Input_Raw[[#This Row],[33 kV_Wind_F2_Import_reading]]-CM125)*1200)&gt;0,(Input_Raw[[#This Row],[33 kV_Wind_F2_Import_reading]]-CM125)*1200,0)</f>
        <v>0</v>
      </c>
      <c r="CV126" s="105">
        <f>IF(((Input_Raw[[#This Row],[33 kV_Wind_F3_Export_Reading]]-CN125)*1200)&gt;0,(Input_Raw[[#This Row],[33 kV_Wind_F3_Export_Reading]]-CN125)*1200,0)</f>
        <v>0</v>
      </c>
      <c r="CW126" s="105">
        <f>IF(((Input_Raw[[#This Row],[33 kV_Wind_F3_Import_Reading]]-CO125)*1200)&gt;0,(Input_Raw[[#This Row],[33 kV_Wind_F3_Import_Reading]]-CO125)*1200,0)</f>
        <v>0</v>
      </c>
      <c r="CX126" s="105">
        <f>IF(((Input_Raw[[#This Row],[33 kV_Wind_F4_Export Reading]]-CP125)*1200)&gt;0,(Input_Raw[[#This Row],[33 kV_Wind_F4_Export Reading]]-CP125)*1200,0)</f>
        <v>0</v>
      </c>
      <c r="CY126" s="188"/>
      <c r="CZ126" s="188">
        <f>Input_Raw[[#This Row],[33 kV_F1_Total_Export (KWh)]]+Input_Raw[[#This Row],[33 kV_F2_Total_Export (KWh)2]]+Input_Raw[[#This Row],[33 kV_Wind_F3_Export (KWh)]]+Input_Raw[[#This Row],[33 kV_Wind_F4_Export (KWh)]]</f>
        <v>0</v>
      </c>
      <c r="DA126" s="188">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16"/>
      <c r="DD126" s="116"/>
      <c r="DE126" s="118"/>
      <c r="DF126" s="115"/>
      <c r="DG126" s="117"/>
      <c r="DH126" s="115"/>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188">
        <f>(Input_Raw[[#This Row],[33 kV_Wind_F1_Export reading]]-CJ126)*1200</f>
        <v>0</v>
      </c>
      <c r="CS127" s="105">
        <f>IF(((Input_Raw[[#This Row],[33 kV_Wind_F1_Import reading]]-CK126)*1200)&gt;0,(Input_Raw[[#This Row],[33 kV_Wind_F1_Import reading]]-CK126)*1200,0)</f>
        <v>0</v>
      </c>
      <c r="CT127" s="105">
        <f>IF(((Input_Raw[[#This Row],[33 kV_Wind_F2_Export_reading]]-CL126)*1200)&gt;0,(Input_Raw[[#This Row],[33 kV_Wind_F2_Export_reading]]-CL126)*1200,0)</f>
        <v>0</v>
      </c>
      <c r="CU127" s="105">
        <f>IF(((Input_Raw[[#This Row],[33 kV_Wind_F2_Import_reading]]-CM126)*1200)&gt;0,(Input_Raw[[#This Row],[33 kV_Wind_F2_Import_reading]]-CM126)*1200,0)</f>
        <v>0</v>
      </c>
      <c r="CV127" s="105">
        <f>IF(((Input_Raw[[#This Row],[33 kV_Wind_F3_Export_Reading]]-CN126)*1200)&gt;0,(Input_Raw[[#This Row],[33 kV_Wind_F3_Export_Reading]]-CN126)*1200,0)</f>
        <v>0</v>
      </c>
      <c r="CW127" s="105">
        <f>IF(((Input_Raw[[#This Row],[33 kV_Wind_F3_Import_Reading]]-CO126)*1200)&gt;0,(Input_Raw[[#This Row],[33 kV_Wind_F3_Import_Reading]]-CO126)*1200,0)</f>
        <v>0</v>
      </c>
      <c r="CX127" s="105">
        <f>IF(((Input_Raw[[#This Row],[33 kV_Wind_F4_Export Reading]]-CP126)*1200)&gt;0,(Input_Raw[[#This Row],[33 kV_Wind_F4_Export Reading]]-CP126)*1200,0)</f>
        <v>0</v>
      </c>
      <c r="CY127" s="188"/>
      <c r="CZ127" s="188">
        <f>Input_Raw[[#This Row],[33 kV_F1_Total_Export (KWh)]]+Input_Raw[[#This Row],[33 kV_F2_Total_Export (KWh)2]]+Input_Raw[[#This Row],[33 kV_Wind_F3_Export (KWh)]]+Input_Raw[[#This Row],[33 kV_Wind_F4_Export (KWh)]]</f>
        <v>0</v>
      </c>
      <c r="DA127" s="188">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16"/>
      <c r="DD127" s="116"/>
      <c r="DE127" s="118"/>
      <c r="DF127" s="115"/>
      <c r="DG127" s="117"/>
      <c r="DH127" s="115"/>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188">
        <f>(Input_Raw[[#This Row],[33 kV_Wind_F1_Export reading]]-CJ127)*1200</f>
        <v>0</v>
      </c>
      <c r="CS128" s="105">
        <f>IF(((Input_Raw[[#This Row],[33 kV_Wind_F1_Import reading]]-CK127)*1200)&gt;0,(Input_Raw[[#This Row],[33 kV_Wind_F1_Import reading]]-CK127)*1200,0)</f>
        <v>0</v>
      </c>
      <c r="CT128" s="105">
        <f>IF(((Input_Raw[[#This Row],[33 kV_Wind_F2_Export_reading]]-CL127)*1200)&gt;0,(Input_Raw[[#This Row],[33 kV_Wind_F2_Export_reading]]-CL127)*1200,0)</f>
        <v>0</v>
      </c>
      <c r="CU128" s="105">
        <f>IF(((Input_Raw[[#This Row],[33 kV_Wind_F2_Import_reading]]-CM127)*1200)&gt;0,(Input_Raw[[#This Row],[33 kV_Wind_F2_Import_reading]]-CM127)*1200,0)</f>
        <v>0</v>
      </c>
      <c r="CV128" s="105">
        <f>IF(((Input_Raw[[#This Row],[33 kV_Wind_F3_Export_Reading]]-CN127)*1200)&gt;0,(Input_Raw[[#This Row],[33 kV_Wind_F3_Export_Reading]]-CN127)*1200,0)</f>
        <v>0</v>
      </c>
      <c r="CW128" s="105">
        <f>IF(((Input_Raw[[#This Row],[33 kV_Wind_F3_Import_Reading]]-CO127)*1200)&gt;0,(Input_Raw[[#This Row],[33 kV_Wind_F3_Import_Reading]]-CO127)*1200,0)</f>
        <v>0</v>
      </c>
      <c r="CX128" s="105">
        <f>IF(((Input_Raw[[#This Row],[33 kV_Wind_F4_Export Reading]]-CP127)*1200)&gt;0,(Input_Raw[[#This Row],[33 kV_Wind_F4_Export Reading]]-CP127)*1200,0)</f>
        <v>0</v>
      </c>
      <c r="CY128" s="188"/>
      <c r="CZ128" s="188">
        <f>Input_Raw[[#This Row],[33 kV_F1_Total_Export (KWh)]]+Input_Raw[[#This Row],[33 kV_F2_Total_Export (KWh)2]]+Input_Raw[[#This Row],[33 kV_Wind_F3_Export (KWh)]]+Input_Raw[[#This Row],[33 kV_Wind_F4_Export (KWh)]]</f>
        <v>0</v>
      </c>
      <c r="DA128" s="188">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16"/>
      <c r="DD128" s="116"/>
      <c r="DE128" s="118"/>
      <c r="DF128" s="115"/>
      <c r="DG128" s="117"/>
      <c r="DH128" s="115"/>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188">
        <f>(Input_Raw[[#This Row],[33 kV_Wind_F1_Export reading]]-CJ128)*1200</f>
        <v>0</v>
      </c>
      <c r="CS129" s="105">
        <f>IF(((Input_Raw[[#This Row],[33 kV_Wind_F1_Import reading]]-CK128)*1200)&gt;0,(Input_Raw[[#This Row],[33 kV_Wind_F1_Import reading]]-CK128)*1200,0)</f>
        <v>0</v>
      </c>
      <c r="CT129" s="105">
        <f>IF(((Input_Raw[[#This Row],[33 kV_Wind_F2_Export_reading]]-CL128)*1200)&gt;0,(Input_Raw[[#This Row],[33 kV_Wind_F2_Export_reading]]-CL128)*1200,0)</f>
        <v>0</v>
      </c>
      <c r="CU129" s="105">
        <f>IF(((Input_Raw[[#This Row],[33 kV_Wind_F2_Import_reading]]-CM128)*1200)&gt;0,(Input_Raw[[#This Row],[33 kV_Wind_F2_Import_reading]]-CM128)*1200,0)</f>
        <v>0</v>
      </c>
      <c r="CV129" s="105">
        <f>IF(((Input_Raw[[#This Row],[33 kV_Wind_F3_Export_Reading]]-CN128)*1200)&gt;0,(Input_Raw[[#This Row],[33 kV_Wind_F3_Export_Reading]]-CN128)*1200,0)</f>
        <v>0</v>
      </c>
      <c r="CW129" s="105">
        <f>IF(((Input_Raw[[#This Row],[33 kV_Wind_F3_Import_Reading]]-CO128)*1200)&gt;0,(Input_Raw[[#This Row],[33 kV_Wind_F3_Import_Reading]]-CO128)*1200,0)</f>
        <v>0</v>
      </c>
      <c r="CX129" s="105">
        <f>IF(((Input_Raw[[#This Row],[33 kV_Wind_F4_Export Reading]]-CP128)*1200)&gt;0,(Input_Raw[[#This Row],[33 kV_Wind_F4_Export Reading]]-CP128)*1200,0)</f>
        <v>0</v>
      </c>
      <c r="CY129" s="188"/>
      <c r="CZ129" s="188">
        <f>Input_Raw[[#This Row],[33 kV_F1_Total_Export (KWh)]]+Input_Raw[[#This Row],[33 kV_F2_Total_Export (KWh)2]]+Input_Raw[[#This Row],[33 kV_Wind_F3_Export (KWh)]]+Input_Raw[[#This Row],[33 kV_Wind_F4_Export (KWh)]]</f>
        <v>0</v>
      </c>
      <c r="DA129" s="188">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16"/>
      <c r="DD129" s="116"/>
      <c r="DE129" s="118"/>
      <c r="DF129" s="115"/>
      <c r="DG129" s="117"/>
      <c r="DH129" s="115"/>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188">
        <f>(Input_Raw[[#This Row],[33 kV_Wind_F1_Export reading]]-CJ129)*1200</f>
        <v>0</v>
      </c>
      <c r="CS130" s="105">
        <f>IF(((Input_Raw[[#This Row],[33 kV_Wind_F1_Import reading]]-CK129)*1200)&gt;0,(Input_Raw[[#This Row],[33 kV_Wind_F1_Import reading]]-CK129)*1200,0)</f>
        <v>0</v>
      </c>
      <c r="CT130" s="105">
        <f>IF(((Input_Raw[[#This Row],[33 kV_Wind_F2_Export_reading]]-CL129)*1200)&gt;0,(Input_Raw[[#This Row],[33 kV_Wind_F2_Export_reading]]-CL129)*1200,0)</f>
        <v>0</v>
      </c>
      <c r="CU130" s="105">
        <f>IF(((Input_Raw[[#This Row],[33 kV_Wind_F2_Import_reading]]-CM129)*1200)&gt;0,(Input_Raw[[#This Row],[33 kV_Wind_F2_Import_reading]]-CM129)*1200,0)</f>
        <v>0</v>
      </c>
      <c r="CV130" s="105">
        <f>IF(((Input_Raw[[#This Row],[33 kV_Wind_F3_Export_Reading]]-CN129)*1200)&gt;0,(Input_Raw[[#This Row],[33 kV_Wind_F3_Export_Reading]]-CN129)*1200,0)</f>
        <v>0</v>
      </c>
      <c r="CW130" s="105">
        <f>IF(((Input_Raw[[#This Row],[33 kV_Wind_F3_Import_Reading]]-CO129)*1200)&gt;0,(Input_Raw[[#This Row],[33 kV_Wind_F3_Import_Reading]]-CO129)*1200,0)</f>
        <v>0</v>
      </c>
      <c r="CX130" s="105">
        <f>IF(((Input_Raw[[#This Row],[33 kV_Wind_F4_Export Reading]]-CP129)*1200)&gt;0,(Input_Raw[[#This Row],[33 kV_Wind_F4_Export Reading]]-CP129)*1200,0)</f>
        <v>0</v>
      </c>
      <c r="CY130" s="188"/>
      <c r="CZ130" s="188">
        <f>Input_Raw[[#This Row],[33 kV_F1_Total_Export (KWh)]]+Input_Raw[[#This Row],[33 kV_F2_Total_Export (KWh)2]]+Input_Raw[[#This Row],[33 kV_Wind_F3_Export (KWh)]]+Input_Raw[[#This Row],[33 kV_Wind_F4_Export (KWh)]]</f>
        <v>0</v>
      </c>
      <c r="DA130" s="188">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16"/>
      <c r="DD130" s="116"/>
      <c r="DE130" s="118"/>
      <c r="DF130" s="115"/>
      <c r="DG130" s="117"/>
      <c r="DH130" s="115"/>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188">
        <f>(Input_Raw[[#This Row],[33 kV_Wind_F1_Export reading]]-CJ130)*1200</f>
        <v>0</v>
      </c>
      <c r="CS131" s="105">
        <f>IF(((Input_Raw[[#This Row],[33 kV_Wind_F1_Import reading]]-CK130)*1200)&gt;0,(Input_Raw[[#This Row],[33 kV_Wind_F1_Import reading]]-CK130)*1200,0)</f>
        <v>0</v>
      </c>
      <c r="CT131" s="105">
        <f>IF(((Input_Raw[[#This Row],[33 kV_Wind_F2_Export_reading]]-CL130)*1200)&gt;0,(Input_Raw[[#This Row],[33 kV_Wind_F2_Export_reading]]-CL130)*1200,0)</f>
        <v>0</v>
      </c>
      <c r="CU131" s="105">
        <f>IF(((Input_Raw[[#This Row],[33 kV_Wind_F2_Import_reading]]-CM130)*1200)&gt;0,(Input_Raw[[#This Row],[33 kV_Wind_F2_Import_reading]]-CM130)*1200,0)</f>
        <v>0</v>
      </c>
      <c r="CV131" s="105">
        <f>IF(((Input_Raw[[#This Row],[33 kV_Wind_F3_Export_Reading]]-CN130)*1200)&gt;0,(Input_Raw[[#This Row],[33 kV_Wind_F3_Export_Reading]]-CN130)*1200,0)</f>
        <v>0</v>
      </c>
      <c r="CW131" s="105">
        <f>IF(((Input_Raw[[#This Row],[33 kV_Wind_F3_Import_Reading]]-CO130)*1200)&gt;0,(Input_Raw[[#This Row],[33 kV_Wind_F3_Import_Reading]]-CO130)*1200,0)</f>
        <v>0</v>
      </c>
      <c r="CX131" s="105">
        <f>IF(((Input_Raw[[#This Row],[33 kV_Wind_F4_Export Reading]]-CP130)*1200)&gt;0,(Input_Raw[[#This Row],[33 kV_Wind_F4_Export Reading]]-CP130)*1200,0)</f>
        <v>0</v>
      </c>
      <c r="CY131" s="188"/>
      <c r="CZ131" s="188">
        <f>Input_Raw[[#This Row],[33 kV_F1_Total_Export (KWh)]]+Input_Raw[[#This Row],[33 kV_F2_Total_Export (KWh)2]]+Input_Raw[[#This Row],[33 kV_Wind_F3_Export (KWh)]]+Input_Raw[[#This Row],[33 kV_Wind_F4_Export (KWh)]]</f>
        <v>0</v>
      </c>
      <c r="DA131" s="188">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16"/>
      <c r="DD131" s="116"/>
      <c r="DE131" s="118"/>
      <c r="DF131" s="115"/>
      <c r="DG131" s="117"/>
      <c r="DH131" s="115"/>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188">
        <f>(Input_Raw[[#This Row],[33 kV_Wind_F1_Export reading]]-CJ131)*1200</f>
        <v>0</v>
      </c>
      <c r="CS132" s="105">
        <f>IF(((Input_Raw[[#This Row],[33 kV_Wind_F1_Import reading]]-CK131)*1200)&gt;0,(Input_Raw[[#This Row],[33 kV_Wind_F1_Import reading]]-CK131)*1200,0)</f>
        <v>0</v>
      </c>
      <c r="CT132" s="105">
        <f>IF(((Input_Raw[[#This Row],[33 kV_Wind_F2_Export_reading]]-CL131)*1200)&gt;0,(Input_Raw[[#This Row],[33 kV_Wind_F2_Export_reading]]-CL131)*1200,0)</f>
        <v>0</v>
      </c>
      <c r="CU132" s="105">
        <f>IF(((Input_Raw[[#This Row],[33 kV_Wind_F2_Import_reading]]-CM131)*1200)&gt;0,(Input_Raw[[#This Row],[33 kV_Wind_F2_Import_reading]]-CM131)*1200,0)</f>
        <v>0</v>
      </c>
      <c r="CV132" s="105">
        <f>IF(((Input_Raw[[#This Row],[33 kV_Wind_F3_Export_Reading]]-CN131)*1200)&gt;0,(Input_Raw[[#This Row],[33 kV_Wind_F3_Export_Reading]]-CN131)*1200,0)</f>
        <v>0</v>
      </c>
      <c r="CW132" s="105">
        <f>IF(((Input_Raw[[#This Row],[33 kV_Wind_F3_Import_Reading]]-CO131)*1200)&gt;0,(Input_Raw[[#This Row],[33 kV_Wind_F3_Import_Reading]]-CO131)*1200,0)</f>
        <v>0</v>
      </c>
      <c r="CX132" s="105">
        <f>IF(((Input_Raw[[#This Row],[33 kV_Wind_F4_Export Reading]]-CP131)*1200)&gt;0,(Input_Raw[[#This Row],[33 kV_Wind_F4_Export Reading]]-CP131)*1200,0)</f>
        <v>0</v>
      </c>
      <c r="CY132" s="188"/>
      <c r="CZ132" s="188">
        <f>Input_Raw[[#This Row],[33 kV_F1_Total_Export (KWh)]]+Input_Raw[[#This Row],[33 kV_F2_Total_Export (KWh)2]]+Input_Raw[[#This Row],[33 kV_Wind_F3_Export (KWh)]]+Input_Raw[[#This Row],[33 kV_Wind_F4_Export (KWh)]]</f>
        <v>0</v>
      </c>
      <c r="DA132" s="188">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16"/>
      <c r="DD132" s="116"/>
      <c r="DE132" s="118"/>
      <c r="DF132" s="115"/>
      <c r="DG132" s="117"/>
      <c r="DH132" s="115"/>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188">
        <f>(Input_Raw[[#This Row],[33 kV_Wind_F1_Export reading]]-CJ132)*1200</f>
        <v>0</v>
      </c>
      <c r="CS133" s="105">
        <f>IF(((Input_Raw[[#This Row],[33 kV_Wind_F1_Import reading]]-CK132)*1200)&gt;0,(Input_Raw[[#This Row],[33 kV_Wind_F1_Import reading]]-CK132)*1200,0)</f>
        <v>0</v>
      </c>
      <c r="CT133" s="105">
        <f>IF(((Input_Raw[[#This Row],[33 kV_Wind_F2_Export_reading]]-CL132)*1200)&gt;0,(Input_Raw[[#This Row],[33 kV_Wind_F2_Export_reading]]-CL132)*1200,0)</f>
        <v>0</v>
      </c>
      <c r="CU133" s="105">
        <f>IF(((Input_Raw[[#This Row],[33 kV_Wind_F2_Import_reading]]-CM132)*1200)&gt;0,(Input_Raw[[#This Row],[33 kV_Wind_F2_Import_reading]]-CM132)*1200,0)</f>
        <v>0</v>
      </c>
      <c r="CV133" s="105">
        <f>IF(((Input_Raw[[#This Row],[33 kV_Wind_F3_Export_Reading]]-CN132)*1200)&gt;0,(Input_Raw[[#This Row],[33 kV_Wind_F3_Export_Reading]]-CN132)*1200,0)</f>
        <v>0</v>
      </c>
      <c r="CW133" s="105">
        <f>IF(((Input_Raw[[#This Row],[33 kV_Wind_F3_Import_Reading]]-CO132)*1200)&gt;0,(Input_Raw[[#This Row],[33 kV_Wind_F3_Import_Reading]]-CO132)*1200,0)</f>
        <v>0</v>
      </c>
      <c r="CX133" s="105">
        <f>IF(((Input_Raw[[#This Row],[33 kV_Wind_F4_Export Reading]]-CP132)*1200)&gt;0,(Input_Raw[[#This Row],[33 kV_Wind_F4_Export Reading]]-CP132)*1200,0)</f>
        <v>0</v>
      </c>
      <c r="CY133" s="188"/>
      <c r="CZ133" s="188">
        <f>Input_Raw[[#This Row],[33 kV_F1_Total_Export (KWh)]]+Input_Raw[[#This Row],[33 kV_F2_Total_Export (KWh)2]]+Input_Raw[[#This Row],[33 kV_Wind_F3_Export (KWh)]]+Input_Raw[[#This Row],[33 kV_Wind_F4_Export (KWh)]]</f>
        <v>0</v>
      </c>
      <c r="DA133" s="188">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16"/>
      <c r="DD133" s="116"/>
      <c r="DE133" s="118"/>
      <c r="DF133" s="115"/>
      <c r="DG133" s="117"/>
      <c r="DH133" s="115"/>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188">
        <f>(Input_Raw[[#This Row],[33 kV_Wind_F1_Export reading]]-CJ133)*1200</f>
        <v>0</v>
      </c>
      <c r="CS134" s="105">
        <f>IF(((Input_Raw[[#This Row],[33 kV_Wind_F1_Import reading]]-CK133)*1200)&gt;0,(Input_Raw[[#This Row],[33 kV_Wind_F1_Import reading]]-CK133)*1200,0)</f>
        <v>0</v>
      </c>
      <c r="CT134" s="105">
        <f>IF(((Input_Raw[[#This Row],[33 kV_Wind_F2_Export_reading]]-CL133)*1200)&gt;0,(Input_Raw[[#This Row],[33 kV_Wind_F2_Export_reading]]-CL133)*1200,0)</f>
        <v>0</v>
      </c>
      <c r="CU134" s="105">
        <f>IF(((Input_Raw[[#This Row],[33 kV_Wind_F2_Import_reading]]-CM133)*1200)&gt;0,(Input_Raw[[#This Row],[33 kV_Wind_F2_Import_reading]]-CM133)*1200,0)</f>
        <v>0</v>
      </c>
      <c r="CV134" s="105">
        <f>IF(((Input_Raw[[#This Row],[33 kV_Wind_F3_Export_Reading]]-CN133)*1200)&gt;0,(Input_Raw[[#This Row],[33 kV_Wind_F3_Export_Reading]]-CN133)*1200,0)</f>
        <v>0</v>
      </c>
      <c r="CW134" s="105">
        <f>IF(((Input_Raw[[#This Row],[33 kV_Wind_F3_Import_Reading]]-CO133)*1200)&gt;0,(Input_Raw[[#This Row],[33 kV_Wind_F3_Import_Reading]]-CO133)*1200,0)</f>
        <v>0</v>
      </c>
      <c r="CX134" s="105">
        <f>IF(((Input_Raw[[#This Row],[33 kV_Wind_F4_Export Reading]]-CP133)*1200)&gt;0,(Input_Raw[[#This Row],[33 kV_Wind_F4_Export Reading]]-CP133)*1200,0)</f>
        <v>0</v>
      </c>
      <c r="CY134" s="188"/>
      <c r="CZ134" s="188">
        <f>Input_Raw[[#This Row],[33 kV_F1_Total_Export (KWh)]]+Input_Raw[[#This Row],[33 kV_F2_Total_Export (KWh)2]]+Input_Raw[[#This Row],[33 kV_Wind_F3_Export (KWh)]]+Input_Raw[[#This Row],[33 kV_Wind_F4_Export (KWh)]]</f>
        <v>0</v>
      </c>
      <c r="DA134" s="188">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16"/>
      <c r="DD134" s="116"/>
      <c r="DE134" s="118"/>
      <c r="DF134" s="115"/>
      <c r="DG134" s="117"/>
      <c r="DH134" s="115"/>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188">
        <f>(Input_Raw[[#This Row],[33 kV_Wind_F1_Export reading]]-CJ134)*1200</f>
        <v>0</v>
      </c>
      <c r="CS135" s="105">
        <f>IF(((Input_Raw[[#This Row],[33 kV_Wind_F1_Import reading]]-CK134)*1200)&gt;0,(Input_Raw[[#This Row],[33 kV_Wind_F1_Import reading]]-CK134)*1200,0)</f>
        <v>0</v>
      </c>
      <c r="CT135" s="105">
        <f>IF(((Input_Raw[[#This Row],[33 kV_Wind_F2_Export_reading]]-CL134)*1200)&gt;0,(Input_Raw[[#This Row],[33 kV_Wind_F2_Export_reading]]-CL134)*1200,0)</f>
        <v>0</v>
      </c>
      <c r="CU135" s="105">
        <f>IF(((Input_Raw[[#This Row],[33 kV_Wind_F2_Import_reading]]-CM134)*1200)&gt;0,(Input_Raw[[#This Row],[33 kV_Wind_F2_Import_reading]]-CM134)*1200,0)</f>
        <v>0</v>
      </c>
      <c r="CV135" s="105">
        <f>IF(((Input_Raw[[#This Row],[33 kV_Wind_F3_Export_Reading]]-CN134)*1200)&gt;0,(Input_Raw[[#This Row],[33 kV_Wind_F3_Export_Reading]]-CN134)*1200,0)</f>
        <v>0</v>
      </c>
      <c r="CW135" s="105">
        <f>IF(((Input_Raw[[#This Row],[33 kV_Wind_F3_Import_Reading]]-CO134)*1200)&gt;0,(Input_Raw[[#This Row],[33 kV_Wind_F3_Import_Reading]]-CO134)*1200,0)</f>
        <v>0</v>
      </c>
      <c r="CX135" s="105">
        <f>IF(((Input_Raw[[#This Row],[33 kV_Wind_F4_Export Reading]]-CP134)*1200)&gt;0,(Input_Raw[[#This Row],[33 kV_Wind_F4_Export Reading]]-CP134)*1200,0)</f>
        <v>0</v>
      </c>
      <c r="CY135" s="188"/>
      <c r="CZ135" s="188">
        <f>Input_Raw[[#This Row],[33 kV_F1_Total_Export (KWh)]]+Input_Raw[[#This Row],[33 kV_F2_Total_Export (KWh)2]]+Input_Raw[[#This Row],[33 kV_Wind_F3_Export (KWh)]]+Input_Raw[[#This Row],[33 kV_Wind_F4_Export (KWh)]]</f>
        <v>0</v>
      </c>
      <c r="DA135" s="188">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16"/>
      <c r="DD135" s="116"/>
      <c r="DE135" s="118"/>
      <c r="DF135" s="115"/>
      <c r="DG135" s="117"/>
      <c r="DH135" s="115"/>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188">
        <f>(Input_Raw[[#This Row],[33 kV_Wind_F1_Export reading]]-CJ135)*1200</f>
        <v>0</v>
      </c>
      <c r="CS136" s="105">
        <f>IF(((Input_Raw[[#This Row],[33 kV_Wind_F1_Import reading]]-CK135)*1200)&gt;0,(Input_Raw[[#This Row],[33 kV_Wind_F1_Import reading]]-CK135)*1200,0)</f>
        <v>0</v>
      </c>
      <c r="CT136" s="105">
        <f>IF(((Input_Raw[[#This Row],[33 kV_Wind_F2_Export_reading]]-CL135)*1200)&gt;0,(Input_Raw[[#This Row],[33 kV_Wind_F2_Export_reading]]-CL135)*1200,0)</f>
        <v>0</v>
      </c>
      <c r="CU136" s="105">
        <f>IF(((Input_Raw[[#This Row],[33 kV_Wind_F2_Import_reading]]-CM135)*1200)&gt;0,(Input_Raw[[#This Row],[33 kV_Wind_F2_Import_reading]]-CM135)*1200,0)</f>
        <v>0</v>
      </c>
      <c r="CV136" s="105">
        <f>IF(((Input_Raw[[#This Row],[33 kV_Wind_F3_Export_Reading]]-CN135)*1200)&gt;0,(Input_Raw[[#This Row],[33 kV_Wind_F3_Export_Reading]]-CN135)*1200,0)</f>
        <v>0</v>
      </c>
      <c r="CW136" s="105">
        <f>IF(((Input_Raw[[#This Row],[33 kV_Wind_F3_Import_Reading]]-CO135)*1200)&gt;0,(Input_Raw[[#This Row],[33 kV_Wind_F3_Import_Reading]]-CO135)*1200,0)</f>
        <v>0</v>
      </c>
      <c r="CX136" s="105">
        <f>IF(((Input_Raw[[#This Row],[33 kV_Wind_F4_Export Reading]]-CP135)*1200)&gt;0,(Input_Raw[[#This Row],[33 kV_Wind_F4_Export Reading]]-CP135)*1200,0)</f>
        <v>0</v>
      </c>
      <c r="CY136" s="188"/>
      <c r="CZ136" s="188">
        <f>Input_Raw[[#This Row],[33 kV_F1_Total_Export (KWh)]]+Input_Raw[[#This Row],[33 kV_F2_Total_Export (KWh)2]]+Input_Raw[[#This Row],[33 kV_Wind_F3_Export (KWh)]]+Input_Raw[[#This Row],[33 kV_Wind_F4_Export (KWh)]]</f>
        <v>0</v>
      </c>
      <c r="DA136" s="188">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16"/>
      <c r="DD136" s="116"/>
      <c r="DE136" s="118"/>
      <c r="DF136" s="115"/>
      <c r="DG136" s="117"/>
      <c r="DH136" s="115"/>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188">
        <f>(Input_Raw[[#This Row],[33 kV_Wind_F1_Export reading]]-CJ136)*1200</f>
        <v>0</v>
      </c>
      <c r="CS137" s="105">
        <f>IF(((Input_Raw[[#This Row],[33 kV_Wind_F1_Import reading]]-CK136)*1200)&gt;0,(Input_Raw[[#This Row],[33 kV_Wind_F1_Import reading]]-CK136)*1200,0)</f>
        <v>0</v>
      </c>
      <c r="CT137" s="105">
        <f>IF(((Input_Raw[[#This Row],[33 kV_Wind_F2_Export_reading]]-CL136)*1200)&gt;0,(Input_Raw[[#This Row],[33 kV_Wind_F2_Export_reading]]-CL136)*1200,0)</f>
        <v>0</v>
      </c>
      <c r="CU137" s="105">
        <f>IF(((Input_Raw[[#This Row],[33 kV_Wind_F2_Import_reading]]-CM136)*1200)&gt;0,(Input_Raw[[#This Row],[33 kV_Wind_F2_Import_reading]]-CM136)*1200,0)</f>
        <v>0</v>
      </c>
      <c r="CV137" s="105">
        <f>IF(((Input_Raw[[#This Row],[33 kV_Wind_F3_Export_Reading]]-CN136)*1200)&gt;0,(Input_Raw[[#This Row],[33 kV_Wind_F3_Export_Reading]]-CN136)*1200,0)</f>
        <v>0</v>
      </c>
      <c r="CW137" s="105">
        <f>IF(((Input_Raw[[#This Row],[33 kV_Wind_F3_Import_Reading]]-CO136)*1200)&gt;0,(Input_Raw[[#This Row],[33 kV_Wind_F3_Import_Reading]]-CO136)*1200,0)</f>
        <v>0</v>
      </c>
      <c r="CX137" s="105">
        <f>IF(((Input_Raw[[#This Row],[33 kV_Wind_F4_Export Reading]]-CP136)*1200)&gt;0,(Input_Raw[[#This Row],[33 kV_Wind_F4_Export Reading]]-CP136)*1200,0)</f>
        <v>0</v>
      </c>
      <c r="CY137" s="188"/>
      <c r="CZ137" s="188">
        <f>Input_Raw[[#This Row],[33 kV_F1_Total_Export (KWh)]]+Input_Raw[[#This Row],[33 kV_F2_Total_Export (KWh)2]]+Input_Raw[[#This Row],[33 kV_Wind_F3_Export (KWh)]]+Input_Raw[[#This Row],[33 kV_Wind_F4_Export (KWh)]]</f>
        <v>0</v>
      </c>
      <c r="DA137" s="188">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16"/>
      <c r="DD137" s="116"/>
      <c r="DE137" s="118"/>
      <c r="DF137" s="115"/>
      <c r="DG137" s="117"/>
      <c r="DH137" s="115"/>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188">
        <f>(Input_Raw[[#This Row],[33 kV_Wind_F1_Export reading]]-CJ137)*1200</f>
        <v>0</v>
      </c>
      <c r="CS138" s="105">
        <f>IF(((Input_Raw[[#This Row],[33 kV_Wind_F1_Import reading]]-CK137)*1200)&gt;0,(Input_Raw[[#This Row],[33 kV_Wind_F1_Import reading]]-CK137)*1200,0)</f>
        <v>0</v>
      </c>
      <c r="CT138" s="105">
        <f>IF(((Input_Raw[[#This Row],[33 kV_Wind_F2_Export_reading]]-CL137)*1200)&gt;0,(Input_Raw[[#This Row],[33 kV_Wind_F2_Export_reading]]-CL137)*1200,0)</f>
        <v>0</v>
      </c>
      <c r="CU138" s="105">
        <f>IF(((Input_Raw[[#This Row],[33 kV_Wind_F2_Import_reading]]-CM137)*1200)&gt;0,(Input_Raw[[#This Row],[33 kV_Wind_F2_Import_reading]]-CM137)*1200,0)</f>
        <v>0</v>
      </c>
      <c r="CV138" s="105">
        <f>IF(((Input_Raw[[#This Row],[33 kV_Wind_F3_Export_Reading]]-CN137)*1200)&gt;0,(Input_Raw[[#This Row],[33 kV_Wind_F3_Export_Reading]]-CN137)*1200,0)</f>
        <v>0</v>
      </c>
      <c r="CW138" s="105">
        <f>IF(((Input_Raw[[#This Row],[33 kV_Wind_F3_Import_Reading]]-CO137)*1200)&gt;0,(Input_Raw[[#This Row],[33 kV_Wind_F3_Import_Reading]]-CO137)*1200,0)</f>
        <v>0</v>
      </c>
      <c r="CX138" s="105">
        <f>IF(((Input_Raw[[#This Row],[33 kV_Wind_F4_Export Reading]]-CP137)*1200)&gt;0,(Input_Raw[[#This Row],[33 kV_Wind_F4_Export Reading]]-CP137)*1200,0)</f>
        <v>0</v>
      </c>
      <c r="CY138" s="188"/>
      <c r="CZ138" s="188">
        <f>Input_Raw[[#This Row],[33 kV_F1_Total_Export (KWh)]]+Input_Raw[[#This Row],[33 kV_F2_Total_Export (KWh)2]]+Input_Raw[[#This Row],[33 kV_Wind_F3_Export (KWh)]]+Input_Raw[[#This Row],[33 kV_Wind_F4_Export (KWh)]]</f>
        <v>0</v>
      </c>
      <c r="DA138" s="188">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16"/>
      <c r="DD138" s="116"/>
      <c r="DE138" s="118"/>
      <c r="DF138" s="115"/>
      <c r="DG138" s="117"/>
      <c r="DH138" s="115"/>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188">
        <f>(Input_Raw[[#This Row],[33 kV_Wind_F1_Export reading]]-CJ138)*1200</f>
        <v>0</v>
      </c>
      <c r="CS139" s="105">
        <f>IF(((Input_Raw[[#This Row],[33 kV_Wind_F1_Import reading]]-CK138)*1200)&gt;0,(Input_Raw[[#This Row],[33 kV_Wind_F1_Import reading]]-CK138)*1200,0)</f>
        <v>0</v>
      </c>
      <c r="CT139" s="105">
        <f>IF(((Input_Raw[[#This Row],[33 kV_Wind_F2_Export_reading]]-CL138)*1200)&gt;0,(Input_Raw[[#This Row],[33 kV_Wind_F2_Export_reading]]-CL138)*1200,0)</f>
        <v>0</v>
      </c>
      <c r="CU139" s="105">
        <f>IF(((Input_Raw[[#This Row],[33 kV_Wind_F2_Import_reading]]-CM138)*1200)&gt;0,(Input_Raw[[#This Row],[33 kV_Wind_F2_Import_reading]]-CM138)*1200,0)</f>
        <v>0</v>
      </c>
      <c r="CV139" s="105">
        <f>IF(((Input_Raw[[#This Row],[33 kV_Wind_F3_Export_Reading]]-CN138)*1200)&gt;0,(Input_Raw[[#This Row],[33 kV_Wind_F3_Export_Reading]]-CN138)*1200,0)</f>
        <v>0</v>
      </c>
      <c r="CW139" s="105">
        <f>IF(((Input_Raw[[#This Row],[33 kV_Wind_F3_Import_Reading]]-CO138)*1200)&gt;0,(Input_Raw[[#This Row],[33 kV_Wind_F3_Import_Reading]]-CO138)*1200,0)</f>
        <v>0</v>
      </c>
      <c r="CX139" s="105">
        <f>IF(((Input_Raw[[#This Row],[33 kV_Wind_F4_Export Reading]]-CP138)*1200)&gt;0,(Input_Raw[[#This Row],[33 kV_Wind_F4_Export Reading]]-CP138)*1200,0)</f>
        <v>0</v>
      </c>
      <c r="CY139" s="188"/>
      <c r="CZ139" s="188">
        <f>Input_Raw[[#This Row],[33 kV_F1_Total_Export (KWh)]]+Input_Raw[[#This Row],[33 kV_F2_Total_Export (KWh)2]]+Input_Raw[[#This Row],[33 kV_Wind_F3_Export (KWh)]]+Input_Raw[[#This Row],[33 kV_Wind_F4_Export (KWh)]]</f>
        <v>0</v>
      </c>
      <c r="DA139" s="188">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16"/>
      <c r="DD139" s="116"/>
      <c r="DE139" s="118"/>
      <c r="DF139" s="115"/>
      <c r="DG139" s="117"/>
      <c r="DH139" s="115"/>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188">
        <f>(Input_Raw[[#This Row],[33 kV_Wind_F1_Export reading]]-CJ139)*1200</f>
        <v>0</v>
      </c>
      <c r="CS140" s="105">
        <f>IF(((Input_Raw[[#This Row],[33 kV_Wind_F1_Import reading]]-CK139)*1200)&gt;0,(Input_Raw[[#This Row],[33 kV_Wind_F1_Import reading]]-CK139)*1200,0)</f>
        <v>0</v>
      </c>
      <c r="CT140" s="105">
        <f>IF(((Input_Raw[[#This Row],[33 kV_Wind_F2_Export_reading]]-CL139)*1200)&gt;0,(Input_Raw[[#This Row],[33 kV_Wind_F2_Export_reading]]-CL139)*1200,0)</f>
        <v>0</v>
      </c>
      <c r="CU140" s="105">
        <f>IF(((Input_Raw[[#This Row],[33 kV_Wind_F2_Import_reading]]-CM139)*1200)&gt;0,(Input_Raw[[#This Row],[33 kV_Wind_F2_Import_reading]]-CM139)*1200,0)</f>
        <v>0</v>
      </c>
      <c r="CV140" s="105">
        <f>IF(((Input_Raw[[#This Row],[33 kV_Wind_F3_Export_Reading]]-CN139)*1200)&gt;0,(Input_Raw[[#This Row],[33 kV_Wind_F3_Export_Reading]]-CN139)*1200,0)</f>
        <v>0</v>
      </c>
      <c r="CW140" s="105">
        <f>IF(((Input_Raw[[#This Row],[33 kV_Wind_F3_Import_Reading]]-CO139)*1200)&gt;0,(Input_Raw[[#This Row],[33 kV_Wind_F3_Import_Reading]]-CO139)*1200,0)</f>
        <v>0</v>
      </c>
      <c r="CX140" s="105">
        <f>IF(((Input_Raw[[#This Row],[33 kV_Wind_F4_Export Reading]]-CP139)*1200)&gt;0,(Input_Raw[[#This Row],[33 kV_Wind_F4_Export Reading]]-CP139)*1200,0)</f>
        <v>0</v>
      </c>
      <c r="CY140" s="188"/>
      <c r="CZ140" s="188">
        <f>Input_Raw[[#This Row],[33 kV_F1_Total_Export (KWh)]]+Input_Raw[[#This Row],[33 kV_F2_Total_Export (KWh)2]]+Input_Raw[[#This Row],[33 kV_Wind_F3_Export (KWh)]]+Input_Raw[[#This Row],[33 kV_Wind_F4_Export (KWh)]]</f>
        <v>0</v>
      </c>
      <c r="DA140" s="188">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16"/>
      <c r="DD140" s="116"/>
      <c r="DE140" s="118"/>
      <c r="DF140" s="115"/>
      <c r="DG140" s="117"/>
      <c r="DH140" s="115"/>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188">
        <f>(Input_Raw[[#This Row],[33 kV_Wind_F1_Export reading]]-CJ140)*1200</f>
        <v>0</v>
      </c>
      <c r="CS141" s="105">
        <f>IF(((Input_Raw[[#This Row],[33 kV_Wind_F1_Import reading]]-CK140)*1200)&gt;0,(Input_Raw[[#This Row],[33 kV_Wind_F1_Import reading]]-CK140)*1200,0)</f>
        <v>0</v>
      </c>
      <c r="CT141" s="105">
        <f>IF(((Input_Raw[[#This Row],[33 kV_Wind_F2_Export_reading]]-CL140)*1200)&gt;0,(Input_Raw[[#This Row],[33 kV_Wind_F2_Export_reading]]-CL140)*1200,0)</f>
        <v>0</v>
      </c>
      <c r="CU141" s="105">
        <f>IF(((Input_Raw[[#This Row],[33 kV_Wind_F2_Import_reading]]-CM140)*1200)&gt;0,(Input_Raw[[#This Row],[33 kV_Wind_F2_Import_reading]]-CM140)*1200,0)</f>
        <v>0</v>
      </c>
      <c r="CV141" s="105">
        <f>IF(((Input_Raw[[#This Row],[33 kV_Wind_F3_Export_Reading]]-CN140)*1200)&gt;0,(Input_Raw[[#This Row],[33 kV_Wind_F3_Export_Reading]]-CN140)*1200,0)</f>
        <v>0</v>
      </c>
      <c r="CW141" s="105">
        <f>IF(((Input_Raw[[#This Row],[33 kV_Wind_F3_Import_Reading]]-CO140)*1200)&gt;0,(Input_Raw[[#This Row],[33 kV_Wind_F3_Import_Reading]]-CO140)*1200,0)</f>
        <v>0</v>
      </c>
      <c r="CX141" s="105">
        <f>IF(((Input_Raw[[#This Row],[33 kV_Wind_F4_Export Reading]]-CP140)*1200)&gt;0,(Input_Raw[[#This Row],[33 kV_Wind_F4_Export Reading]]-CP140)*1200,0)</f>
        <v>0</v>
      </c>
      <c r="CY141" s="188"/>
      <c r="CZ141" s="188">
        <f>Input_Raw[[#This Row],[33 kV_F1_Total_Export (KWh)]]+Input_Raw[[#This Row],[33 kV_F2_Total_Export (KWh)2]]+Input_Raw[[#This Row],[33 kV_Wind_F3_Export (KWh)]]+Input_Raw[[#This Row],[33 kV_Wind_F4_Export (KWh)]]</f>
        <v>0</v>
      </c>
      <c r="DA141" s="188">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16"/>
      <c r="DD141" s="116"/>
      <c r="DE141" s="118"/>
      <c r="DF141" s="115"/>
      <c r="DG141" s="117"/>
      <c r="DH141" s="115"/>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188">
        <f>(Input_Raw[[#This Row],[33 kV_Wind_F1_Export reading]]-CJ141)*1200</f>
        <v>0</v>
      </c>
      <c r="CS142" s="105">
        <f>IF(((Input_Raw[[#This Row],[33 kV_Wind_F1_Import reading]]-CK141)*1200)&gt;0,(Input_Raw[[#This Row],[33 kV_Wind_F1_Import reading]]-CK141)*1200,0)</f>
        <v>0</v>
      </c>
      <c r="CT142" s="105">
        <f>IF(((Input_Raw[[#This Row],[33 kV_Wind_F2_Export_reading]]-CL141)*1200)&gt;0,(Input_Raw[[#This Row],[33 kV_Wind_F2_Export_reading]]-CL141)*1200,0)</f>
        <v>0</v>
      </c>
      <c r="CU142" s="105">
        <f>IF(((Input_Raw[[#This Row],[33 kV_Wind_F2_Import_reading]]-CM141)*1200)&gt;0,(Input_Raw[[#This Row],[33 kV_Wind_F2_Import_reading]]-CM141)*1200,0)</f>
        <v>0</v>
      </c>
      <c r="CV142" s="105">
        <f>IF(((Input_Raw[[#This Row],[33 kV_Wind_F3_Export_Reading]]-CN141)*1200)&gt;0,(Input_Raw[[#This Row],[33 kV_Wind_F3_Export_Reading]]-CN141)*1200,0)</f>
        <v>0</v>
      </c>
      <c r="CW142" s="105">
        <f>IF(((Input_Raw[[#This Row],[33 kV_Wind_F3_Import_Reading]]-CO141)*1200)&gt;0,(Input_Raw[[#This Row],[33 kV_Wind_F3_Import_Reading]]-CO141)*1200,0)</f>
        <v>0</v>
      </c>
      <c r="CX142" s="105">
        <f>IF(((Input_Raw[[#This Row],[33 kV_Wind_F4_Export Reading]]-CP141)*1200)&gt;0,(Input_Raw[[#This Row],[33 kV_Wind_F4_Export Reading]]-CP141)*1200,0)</f>
        <v>0</v>
      </c>
      <c r="CY142" s="188"/>
      <c r="CZ142" s="188">
        <f>Input_Raw[[#This Row],[33 kV_F1_Total_Export (KWh)]]+Input_Raw[[#This Row],[33 kV_F2_Total_Export (KWh)2]]+Input_Raw[[#This Row],[33 kV_Wind_F3_Export (KWh)]]+Input_Raw[[#This Row],[33 kV_Wind_F4_Export (KWh)]]</f>
        <v>0</v>
      </c>
      <c r="DA142" s="188">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16"/>
      <c r="DD142" s="116"/>
      <c r="DE142" s="118"/>
      <c r="DF142" s="115"/>
      <c r="DG142" s="117"/>
      <c r="DH142" s="115"/>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188">
        <f>(Input_Raw[[#This Row],[33 kV_Wind_F1_Export reading]]-CJ142)*1200</f>
        <v>0</v>
      </c>
      <c r="CS143" s="105">
        <f>IF(((Input_Raw[[#This Row],[33 kV_Wind_F1_Import reading]]-CK142)*1200)&gt;0,(Input_Raw[[#This Row],[33 kV_Wind_F1_Import reading]]-CK142)*1200,0)</f>
        <v>0</v>
      </c>
      <c r="CT143" s="105">
        <f>IF(((Input_Raw[[#This Row],[33 kV_Wind_F2_Export_reading]]-CL142)*1200)&gt;0,(Input_Raw[[#This Row],[33 kV_Wind_F2_Export_reading]]-CL142)*1200,0)</f>
        <v>0</v>
      </c>
      <c r="CU143" s="105">
        <f>IF(((Input_Raw[[#This Row],[33 kV_Wind_F2_Import_reading]]-CM142)*1200)&gt;0,(Input_Raw[[#This Row],[33 kV_Wind_F2_Import_reading]]-CM142)*1200,0)</f>
        <v>0</v>
      </c>
      <c r="CV143" s="105">
        <f>IF(((Input_Raw[[#This Row],[33 kV_Wind_F3_Export_Reading]]-CN142)*1200)&gt;0,(Input_Raw[[#This Row],[33 kV_Wind_F3_Export_Reading]]-CN142)*1200,0)</f>
        <v>0</v>
      </c>
      <c r="CW143" s="105">
        <f>IF(((Input_Raw[[#This Row],[33 kV_Wind_F3_Import_Reading]]-CO142)*1200)&gt;0,(Input_Raw[[#This Row],[33 kV_Wind_F3_Import_Reading]]-CO142)*1200,0)</f>
        <v>0</v>
      </c>
      <c r="CX143" s="105">
        <f>IF(((Input_Raw[[#This Row],[33 kV_Wind_F4_Export Reading]]-CP142)*1200)&gt;0,(Input_Raw[[#This Row],[33 kV_Wind_F4_Export Reading]]-CP142)*1200,0)</f>
        <v>0</v>
      </c>
      <c r="CY143" s="188"/>
      <c r="CZ143" s="188">
        <f>Input_Raw[[#This Row],[33 kV_F1_Total_Export (KWh)]]+Input_Raw[[#This Row],[33 kV_F2_Total_Export (KWh)2]]+Input_Raw[[#This Row],[33 kV_Wind_F3_Export (KWh)]]+Input_Raw[[#This Row],[33 kV_Wind_F4_Export (KWh)]]</f>
        <v>0</v>
      </c>
      <c r="DA143" s="188">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16"/>
      <c r="DD143" s="189"/>
      <c r="DE143" s="115"/>
      <c r="DF143" s="115"/>
      <c r="DG143" s="117"/>
      <c r="DH143" s="115"/>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188">
        <f>(Input_Raw[[#This Row],[33 kV_Wind_F1_Export reading]]-CJ143)*1200</f>
        <v>0</v>
      </c>
      <c r="CS144" s="105">
        <f>IF(((Input_Raw[[#This Row],[33 kV_Wind_F1_Import reading]]-CK143)*1200)&gt;0,(Input_Raw[[#This Row],[33 kV_Wind_F1_Import reading]]-CK143)*1200,0)</f>
        <v>0</v>
      </c>
      <c r="CT144" s="105">
        <f>IF(((Input_Raw[[#This Row],[33 kV_Wind_F2_Export_reading]]-CL143)*1200)&gt;0,(Input_Raw[[#This Row],[33 kV_Wind_F2_Export_reading]]-CL143)*1200,0)</f>
        <v>0</v>
      </c>
      <c r="CU144" s="105">
        <f>IF(((Input_Raw[[#This Row],[33 kV_Wind_F2_Import_reading]]-CM143)*1200)&gt;0,(Input_Raw[[#This Row],[33 kV_Wind_F2_Import_reading]]-CM143)*1200,0)</f>
        <v>0</v>
      </c>
      <c r="CV144" s="105">
        <f>IF(((Input_Raw[[#This Row],[33 kV_Wind_F3_Export_Reading]]-CN143)*1200)&gt;0,(Input_Raw[[#This Row],[33 kV_Wind_F3_Export_Reading]]-CN143)*1200,0)</f>
        <v>0</v>
      </c>
      <c r="CW144" s="105">
        <f>IF(((Input_Raw[[#This Row],[33 kV_Wind_F3_Import_Reading]]-CO143)*1200)&gt;0,(Input_Raw[[#This Row],[33 kV_Wind_F3_Import_Reading]]-CO143)*1200,0)</f>
        <v>0</v>
      </c>
      <c r="CX144" s="105">
        <f>IF(((Input_Raw[[#This Row],[33 kV_Wind_F4_Export Reading]]-CP143)*1200)&gt;0,(Input_Raw[[#This Row],[33 kV_Wind_F4_Export Reading]]-CP143)*1200,0)</f>
        <v>0</v>
      </c>
      <c r="CY144" s="188"/>
      <c r="CZ144" s="188">
        <f>Input_Raw[[#This Row],[33 kV_F1_Total_Export (KWh)]]+Input_Raw[[#This Row],[33 kV_F2_Total_Export (KWh)2]]+Input_Raw[[#This Row],[33 kV_Wind_F3_Export (KWh)]]+Input_Raw[[#This Row],[33 kV_Wind_F4_Export (KWh)]]</f>
        <v>0</v>
      </c>
      <c r="DA144" s="188">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16"/>
      <c r="DD144" s="189"/>
      <c r="DE144" s="115"/>
      <c r="DF144" s="115"/>
      <c r="DG144" s="117"/>
      <c r="DH144" s="115"/>
    </row>
    <row r="145" spans="109:109">
      <c r="DE145" s="111"/>
    </row>
    <row r="146" spans="109:109">
      <c r="DE146" s="111"/>
    </row>
    <row r="147" spans="109:109">
      <c r="DE147" s="111"/>
    </row>
    <row r="148" spans="109:109">
      <c r="DE148" s="111"/>
    </row>
    <row r="149" spans="109:109">
      <c r="DE149" s="111"/>
    </row>
    <row r="150" spans="109:109">
      <c r="DE150" s="111"/>
    </row>
    <row r="151" spans="109:109">
      <c r="DE151" s="111"/>
    </row>
    <row r="152" spans="109:109">
      <c r="DE152" s="111"/>
    </row>
    <row r="153" spans="109:109">
      <c r="DE153" s="111"/>
    </row>
    <row r="154" spans="109:109">
      <c r="DE154" s="111"/>
    </row>
    <row r="155" spans="109:109">
      <c r="DE155" s="111"/>
    </row>
    <row r="156" spans="109:109">
      <c r="DE156" s="111"/>
    </row>
    <row r="157" spans="109:109">
      <c r="DE157" s="111"/>
    </row>
    <row r="158" spans="109:109">
      <c r="DE158" s="111"/>
    </row>
    <row r="159" spans="109:109">
      <c r="DE159" s="111"/>
    </row>
    <row r="160" spans="109:109">
      <c r="DE160" s="111"/>
    </row>
    <row r="161" spans="109:109">
      <c r="DE161" s="111"/>
    </row>
    <row r="162" spans="109:109">
      <c r="DE162" s="111"/>
    </row>
    <row r="163" spans="109:109">
      <c r="DE163" s="111"/>
    </row>
    <row r="164" spans="109:109">
      <c r="DE164" s="111"/>
    </row>
    <row r="165" spans="109:109">
      <c r="DE165" s="111"/>
    </row>
    <row r="166" spans="109:109">
      <c r="DE166" s="111"/>
    </row>
    <row r="167" spans="109:109">
      <c r="DE167" s="111"/>
    </row>
    <row r="168" spans="109:109">
      <c r="DE168" s="111"/>
    </row>
    <row r="169" spans="109:109">
      <c r="DE169" s="111"/>
    </row>
    <row r="170" spans="109:109">
      <c r="DE170" s="111"/>
    </row>
    <row r="171" spans="109:109">
      <c r="DE171" s="111"/>
    </row>
    <row r="172" spans="109:109">
      <c r="DE172" s="111"/>
    </row>
    <row r="173" spans="109:109">
      <c r="DE173" s="111"/>
    </row>
    <row r="174" spans="109:109">
      <c r="DE174" s="111"/>
    </row>
    <row r="175" spans="109:109">
      <c r="DE175" s="111"/>
    </row>
    <row r="176" spans="109:109">
      <c r="DE176" s="111"/>
    </row>
    <row r="177" spans="109:109">
      <c r="DE177" s="111"/>
    </row>
    <row r="178" spans="109:109">
      <c r="DE178" s="111"/>
    </row>
    <row r="179" spans="109:109">
      <c r="DE179" s="111"/>
    </row>
    <row r="180" spans="109:109">
      <c r="DE180" s="111"/>
    </row>
    <row r="181" spans="109:109">
      <c r="DE181" s="111"/>
    </row>
    <row r="182" spans="109:109">
      <c r="DE182" s="111"/>
    </row>
    <row r="183" spans="109:109">
      <c r="DE183" s="111"/>
    </row>
    <row r="184" spans="109:109">
      <c r="DE184" s="111"/>
    </row>
    <row r="185" spans="109:109">
      <c r="DE185" s="111"/>
    </row>
    <row r="186" spans="109:109">
      <c r="DE186" s="111"/>
    </row>
    <row r="187" spans="109:109">
      <c r="DE187" s="111"/>
    </row>
    <row r="188" spans="109:109">
      <c r="DE188" s="111"/>
    </row>
    <row r="189" spans="109:109">
      <c r="DE189" s="111"/>
    </row>
    <row r="190" spans="109:109">
      <c r="DE190" s="111"/>
    </row>
    <row r="191" spans="109:109">
      <c r="DE191" s="111"/>
    </row>
    <row r="192" spans="109:109">
      <c r="DE192" s="111"/>
    </row>
    <row r="193" spans="109:109">
      <c r="DE193" s="111"/>
    </row>
    <row r="194" spans="109:109">
      <c r="DE194" s="111"/>
    </row>
    <row r="195" spans="109:109">
      <c r="DE195" s="111"/>
    </row>
    <row r="196" spans="109:109">
      <c r="DE196" s="111"/>
    </row>
    <row r="197" spans="109:109">
      <c r="DE197" s="111"/>
    </row>
  </sheetData>
  <phoneticPr fontId="9"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47" activePane="bottomRight" state="frozen"/>
      <selection pane="topRight" activeCell="C1" sqref="C1"/>
      <selection pane="bottomLeft" activeCell="C1" sqref="C1"/>
      <selection pane="bottomRight" activeCell="Z51" sqref="Z51"/>
    </sheetView>
  </sheetViews>
  <sheetFormatPr defaultColWidth="8.7109375" defaultRowHeight="15"/>
  <cols>
    <col min="1" max="1" width="8.7109375" style="121"/>
    <col min="2" max="2" width="9.85546875" style="121" bestFit="1" customWidth="1"/>
    <col min="3" max="3" width="15.85546875" style="121" customWidth="1"/>
    <col min="4" max="6" width="8.7109375" style="121"/>
    <col min="7" max="7" width="20.5703125" style="121" customWidth="1"/>
    <col min="8" max="8" width="8.7109375" style="121"/>
    <col min="9" max="9" width="9.42578125" style="121" bestFit="1" customWidth="1"/>
    <col min="10" max="14" width="8.7109375" style="121"/>
    <col min="15" max="15" width="9.85546875" style="121" bestFit="1" customWidth="1"/>
    <col min="16" max="16" width="11" style="121" customWidth="1"/>
    <col min="17" max="17" width="15.28515625" style="121" customWidth="1"/>
    <col min="18" max="19" width="10.85546875" style="121" customWidth="1"/>
    <col min="20" max="20" width="13" style="121" customWidth="1"/>
    <col min="21" max="25" width="12.85546875" style="121" customWidth="1"/>
    <col min="26" max="27" width="14.5703125" style="121" customWidth="1"/>
    <col min="28" max="29" width="15.5703125" style="121" customWidth="1"/>
    <col min="30" max="38" width="9.85546875" style="121" customWidth="1"/>
    <col min="39" max="39" width="12" style="121" bestFit="1" customWidth="1"/>
    <col min="40" max="41" width="12" style="121" customWidth="1"/>
    <col min="42" max="42" width="27.5703125" style="121" bestFit="1" customWidth="1"/>
    <col min="43" max="16384" width="8.7109375" style="121"/>
  </cols>
  <sheetData>
    <row r="1" spans="1:43" ht="45">
      <c r="A1" s="145" t="s">
        <v>7</v>
      </c>
      <c r="B1" s="145" t="s">
        <v>383</v>
      </c>
      <c r="C1" s="145" t="s">
        <v>384</v>
      </c>
      <c r="D1" s="145" t="s">
        <v>385</v>
      </c>
      <c r="E1" s="145" t="s">
        <v>386</v>
      </c>
      <c r="F1" s="145" t="s">
        <v>387</v>
      </c>
      <c r="G1" s="145" t="s">
        <v>388</v>
      </c>
      <c r="H1" s="145" t="s">
        <v>389</v>
      </c>
      <c r="I1" s="145" t="s">
        <v>390</v>
      </c>
      <c r="J1" s="145" t="s">
        <v>391</v>
      </c>
      <c r="K1" s="145" t="s">
        <v>392</v>
      </c>
      <c r="L1" s="145" t="s">
        <v>393</v>
      </c>
      <c r="M1" s="145" t="s">
        <v>394</v>
      </c>
      <c r="N1" s="145" t="s">
        <v>395</v>
      </c>
      <c r="O1" s="145" t="s">
        <v>396</v>
      </c>
      <c r="P1" s="145" t="s">
        <v>397</v>
      </c>
      <c r="Q1" s="145" t="s">
        <v>398</v>
      </c>
      <c r="R1" s="145" t="s">
        <v>399</v>
      </c>
      <c r="S1" s="145" t="s">
        <v>400</v>
      </c>
      <c r="T1" s="145" t="s">
        <v>401</v>
      </c>
      <c r="U1" s="145" t="s">
        <v>402</v>
      </c>
      <c r="V1" s="145" t="s">
        <v>403</v>
      </c>
      <c r="W1" s="145" t="s">
        <v>404</v>
      </c>
      <c r="X1" s="145" t="s">
        <v>405</v>
      </c>
      <c r="Y1" s="145" t="s">
        <v>406</v>
      </c>
      <c r="Z1" s="145" t="s">
        <v>407</v>
      </c>
      <c r="AA1" s="145" t="s">
        <v>408</v>
      </c>
      <c r="AB1" s="145" t="s">
        <v>409</v>
      </c>
      <c r="AC1" s="145" t="s">
        <v>410</v>
      </c>
      <c r="AD1" s="145" t="s">
        <v>411</v>
      </c>
      <c r="AE1" s="145" t="s">
        <v>412</v>
      </c>
      <c r="AF1" s="145" t="s">
        <v>413</v>
      </c>
      <c r="AG1" s="145" t="s">
        <v>414</v>
      </c>
      <c r="AH1" s="145" t="s">
        <v>415</v>
      </c>
      <c r="AI1" s="145" t="s">
        <v>416</v>
      </c>
      <c r="AJ1" s="145" t="s">
        <v>417</v>
      </c>
      <c r="AK1" s="145" t="s">
        <v>418</v>
      </c>
      <c r="AL1" s="145" t="s">
        <v>419</v>
      </c>
      <c r="AM1" s="145" t="s">
        <v>112</v>
      </c>
      <c r="AN1" s="145" t="s">
        <v>113</v>
      </c>
      <c r="AP1" s="121" t="s">
        <v>420</v>
      </c>
      <c r="AQ1" s="146">
        <v>78</v>
      </c>
    </row>
    <row r="2" spans="1:43">
      <c r="A2" s="147">
        <v>1</v>
      </c>
      <c r="B2" s="148" t="s">
        <v>421</v>
      </c>
      <c r="C2" s="149">
        <v>4</v>
      </c>
      <c r="D2" s="148">
        <v>44287</v>
      </c>
      <c r="E2" s="128">
        <f>YEAR(D2)</f>
        <v>2021</v>
      </c>
      <c r="F2" s="128" t="s">
        <v>422</v>
      </c>
      <c r="G2" s="147">
        <f>DAY(EOMONTH(D2,0))</f>
        <v>30</v>
      </c>
      <c r="H2" s="150"/>
      <c r="I2" s="150"/>
      <c r="J2" s="151">
        <v>5.6333333333333329</v>
      </c>
      <c r="K2" s="150"/>
      <c r="L2" s="147"/>
      <c r="M2" s="152">
        <v>11863.843200000001</v>
      </c>
      <c r="N2" s="152">
        <v>80</v>
      </c>
      <c r="O2" s="129"/>
      <c r="P2" s="151"/>
      <c r="Q2" s="147">
        <f>COUNTIFS('Daily KPI'!$D:$D,D2,'Daily KPI'!$M:$M,"&gt;0")</f>
        <v>0</v>
      </c>
      <c r="R2" s="152"/>
      <c r="S2" s="152"/>
      <c r="T2" s="151">
        <f t="shared" ref="T2:T39" si="0">M2/G2</f>
        <v>395.46144000000004</v>
      </c>
      <c r="U2" s="152">
        <f t="shared" ref="U2:U39" si="1">M2/G2*Q2</f>
        <v>0</v>
      </c>
      <c r="V2" s="152">
        <f>SUMIF($F$2:F2,F2,$U$2:U2)</f>
        <v>0</v>
      </c>
      <c r="W2" s="129">
        <f t="shared" ref="W2:W33" si="2">IFERROR(T2/(24*N2),"")</f>
        <v>0.20596950000000003</v>
      </c>
      <c r="X2" s="129" t="str">
        <f t="shared" ref="X2:X33" si="3">IFERROR(U2/(24*N2*Q2),"")</f>
        <v/>
      </c>
      <c r="Y2" s="129" t="str">
        <f t="shared" ref="Y2:Y33" si="4">IFERROR(V2/(24*N2*SUMIFS($Q:$Q,$F:$F,$F2,$D:$D,"&lt;="&amp;D2)),"")</f>
        <v/>
      </c>
      <c r="Z2" s="151" t="str">
        <f>IFERROR(AVERAGEIF('Daily KPI'!D:D,Table14[[#This Row],[Month]],'Daily KPI'!AB:AB),"")</f>
        <v/>
      </c>
      <c r="AA2" s="150" t="str">
        <f>IFERROR(AVERAGEIF($F$2:F2,F2,$Z$2:Z2),"")</f>
        <v/>
      </c>
      <c r="AB2" s="152"/>
      <c r="AC2" s="151">
        <v>6.4041034581308942</v>
      </c>
      <c r="AD2" s="151">
        <f>AVERAGEIF($F$2:F2,F2,$AC$2:AC2)</f>
        <v>6.4041034581308942</v>
      </c>
      <c r="AE2" s="129">
        <f t="shared" ref="AE2:AE33" si="5">IFERROR(AH2*AI2,"")</f>
        <v>0.96029999999999993</v>
      </c>
      <c r="AF2" s="129">
        <v>0.995</v>
      </c>
      <c r="AG2" s="129"/>
      <c r="AH2" s="129">
        <v>0.97</v>
      </c>
      <c r="AI2" s="129">
        <v>0.99</v>
      </c>
      <c r="AJ2" s="129">
        <v>0.95</v>
      </c>
      <c r="AK2" s="129">
        <v>0.05</v>
      </c>
      <c r="AL2" s="129">
        <v>0.05</v>
      </c>
      <c r="AM2" s="176"/>
      <c r="AN2" s="176"/>
      <c r="AP2" s="157" t="s">
        <v>423</v>
      </c>
      <c r="AQ2" s="121">
        <f>AQ1*5%</f>
        <v>3.9000000000000004</v>
      </c>
    </row>
    <row r="3" spans="1:43">
      <c r="A3" s="149">
        <f>A2+1</f>
        <v>2</v>
      </c>
      <c r="B3" s="148" t="s">
        <v>424</v>
      </c>
      <c r="C3" s="149">
        <v>5</v>
      </c>
      <c r="D3" s="148">
        <v>44317</v>
      </c>
      <c r="E3" s="126">
        <f>YEAR(D3)</f>
        <v>2021</v>
      </c>
      <c r="F3" s="128" t="s">
        <v>422</v>
      </c>
      <c r="G3" s="149">
        <f>DAY(EOMONTH(D3,0))</f>
        <v>31</v>
      </c>
      <c r="H3" s="153"/>
      <c r="I3" s="153"/>
      <c r="J3" s="154">
        <v>6.5666666666666664</v>
      </c>
      <c r="K3" s="153"/>
      <c r="L3" s="149"/>
      <c r="M3" s="155">
        <v>20092.21632</v>
      </c>
      <c r="N3" s="155">
        <v>80</v>
      </c>
      <c r="O3" s="127"/>
      <c r="P3" s="154"/>
      <c r="Q3" s="149">
        <f>COUNTIFS('Daily KPI'!$D:$D,D3,'Daily KPI'!$M:$M,"&gt;0")</f>
        <v>0</v>
      </c>
      <c r="R3" s="155"/>
      <c r="S3" s="155"/>
      <c r="T3" s="154">
        <f t="shared" si="0"/>
        <v>648.13601032258066</v>
      </c>
      <c r="U3" s="155">
        <f t="shared" si="1"/>
        <v>0</v>
      </c>
      <c r="V3" s="155">
        <f>SUMIF($F$2:F3,F3,$U$2:U3)</f>
        <v>0</v>
      </c>
      <c r="W3" s="127">
        <f t="shared" si="2"/>
        <v>0.33757083870967741</v>
      </c>
      <c r="X3" s="127" t="str">
        <f t="shared" si="3"/>
        <v/>
      </c>
      <c r="Y3" s="127" t="str">
        <f t="shared" si="4"/>
        <v/>
      </c>
      <c r="Z3" s="154" t="str">
        <f>IFERROR(AVERAGEIF('Daily KPI'!D:D,Table14[[#This Row],[Month]],'Daily KPI'!AB:AB),"")</f>
        <v/>
      </c>
      <c r="AA3" s="150" t="str">
        <f>IFERROR(AVERAGEIF($F$2:F3,F3,$Z$2:Z3),"")</f>
        <v/>
      </c>
      <c r="AB3" s="155"/>
      <c r="AC3" s="154">
        <v>5.9681800514432695</v>
      </c>
      <c r="AD3" s="154">
        <f>AVERAGEIF($F$2:F3,F3,$AC$2:AC3)</f>
        <v>6.1861417547870818</v>
      </c>
      <c r="AE3" s="127">
        <f t="shared" si="5"/>
        <v>0.96029999999999993</v>
      </c>
      <c r="AF3" s="127">
        <v>0.995</v>
      </c>
      <c r="AG3" s="127"/>
      <c r="AH3" s="127">
        <v>0.97</v>
      </c>
      <c r="AI3" s="127">
        <v>0.99</v>
      </c>
      <c r="AJ3" s="127">
        <v>0.95</v>
      </c>
      <c r="AK3" s="127">
        <v>0.05</v>
      </c>
      <c r="AL3" s="127">
        <v>0.05</v>
      </c>
      <c r="AM3" s="175"/>
      <c r="AN3" s="175"/>
      <c r="AP3" s="157" t="s">
        <v>425</v>
      </c>
      <c r="AQ3" s="121">
        <f>AQ2*24</f>
        <v>93.600000000000009</v>
      </c>
    </row>
    <row r="4" spans="1:43">
      <c r="A4" s="149">
        <f t="shared" ref="A4:A61" si="6">A3+1</f>
        <v>3</v>
      </c>
      <c r="B4" s="148" t="s">
        <v>426</v>
      </c>
      <c r="C4" s="149">
        <v>6</v>
      </c>
      <c r="D4" s="148">
        <v>44348</v>
      </c>
      <c r="E4" s="128">
        <f t="shared" ref="E4:E23" si="7">YEAR(D4)</f>
        <v>2021</v>
      </c>
      <c r="F4" s="128" t="s">
        <v>422</v>
      </c>
      <c r="G4" s="147">
        <f t="shared" ref="G4:G23" si="8">DAY(EOMONTH(D4,0))</f>
        <v>30</v>
      </c>
      <c r="H4" s="150"/>
      <c r="I4" s="150"/>
      <c r="J4" s="151">
        <v>6.5666666666666664</v>
      </c>
      <c r="K4" s="150"/>
      <c r="L4" s="147"/>
      <c r="M4" s="152">
        <v>17455.80672</v>
      </c>
      <c r="N4" s="152">
        <v>80</v>
      </c>
      <c r="O4" s="129"/>
      <c r="P4" s="151"/>
      <c r="Q4" s="147">
        <f>COUNTIFS('Daily KPI'!$D:$D,D4,'Daily KPI'!$M:$M,"&gt;0")</f>
        <v>0</v>
      </c>
      <c r="R4" s="152"/>
      <c r="S4" s="152"/>
      <c r="T4" s="151">
        <f t="shared" si="0"/>
        <v>581.86022400000002</v>
      </c>
      <c r="U4" s="152">
        <f t="shared" si="1"/>
        <v>0</v>
      </c>
      <c r="V4" s="152">
        <f>SUMIF($F$2:F4,F4,$U$2:U4)</f>
        <v>0</v>
      </c>
      <c r="W4" s="129">
        <f t="shared" si="2"/>
        <v>0.30305219999999999</v>
      </c>
      <c r="X4" s="129" t="str">
        <f t="shared" si="3"/>
        <v/>
      </c>
      <c r="Y4" s="129" t="str">
        <f t="shared" si="4"/>
        <v/>
      </c>
      <c r="Z4" s="151" t="str">
        <f>IFERROR(AVERAGEIF('Daily KPI'!D:D,Table14[[#This Row],[Month]],'Daily KPI'!AB:AB),"")</f>
        <v/>
      </c>
      <c r="AA4" s="150" t="str">
        <f>IFERROR(AVERAGEIF($F$2:F4,F4,$Z$2:Z4),"")</f>
        <v/>
      </c>
      <c r="AB4" s="152"/>
      <c r="AC4" s="151">
        <v>5.6310997427836513</v>
      </c>
      <c r="AD4" s="151">
        <f>AVERAGEIF($F$2:F4,F4,$AC$2:AC4)</f>
        <v>6.0011277507859377</v>
      </c>
      <c r="AE4" s="129">
        <f t="shared" si="5"/>
        <v>0.96029999999999993</v>
      </c>
      <c r="AF4" s="129">
        <v>0.995</v>
      </c>
      <c r="AG4" s="129"/>
      <c r="AH4" s="129">
        <v>0.97</v>
      </c>
      <c r="AI4" s="129">
        <v>0.99</v>
      </c>
      <c r="AJ4" s="129">
        <v>0.95</v>
      </c>
      <c r="AK4" s="129">
        <v>0.05</v>
      </c>
      <c r="AL4" s="129">
        <v>0.05</v>
      </c>
      <c r="AM4" s="175"/>
      <c r="AN4" s="175"/>
    </row>
    <row r="5" spans="1:43">
      <c r="A5" s="149">
        <f t="shared" si="6"/>
        <v>4</v>
      </c>
      <c r="B5" s="148" t="s">
        <v>427</v>
      </c>
      <c r="C5" s="149">
        <v>7</v>
      </c>
      <c r="D5" s="148">
        <v>44378</v>
      </c>
      <c r="E5" s="126">
        <f t="shared" si="7"/>
        <v>2021</v>
      </c>
      <c r="F5" s="128" t="s">
        <v>422</v>
      </c>
      <c r="G5" s="149">
        <f t="shared" si="8"/>
        <v>31</v>
      </c>
      <c r="H5" s="153"/>
      <c r="I5" s="153"/>
      <c r="J5" s="154">
        <v>7.6000000000000005</v>
      </c>
      <c r="K5" s="153"/>
      <c r="L5" s="149"/>
      <c r="M5" s="155">
        <v>21077.400960000003</v>
      </c>
      <c r="N5" s="155">
        <v>80</v>
      </c>
      <c r="O5" s="127"/>
      <c r="P5" s="154"/>
      <c r="Q5" s="149">
        <f>COUNTIFS('Daily KPI'!$D:$D,D5,'Daily KPI'!$M:$M,"&gt;0")</f>
        <v>0</v>
      </c>
      <c r="R5" s="155"/>
      <c r="S5" s="155"/>
      <c r="T5" s="154">
        <f t="shared" si="0"/>
        <v>679.9161600000001</v>
      </c>
      <c r="U5" s="155">
        <f t="shared" si="1"/>
        <v>0</v>
      </c>
      <c r="V5" s="155">
        <f>SUMIF($F$2:F5,F5,$U$2:U5)</f>
        <v>0</v>
      </c>
      <c r="W5" s="127">
        <f t="shared" si="2"/>
        <v>0.35412300000000008</v>
      </c>
      <c r="X5" s="127" t="str">
        <f t="shared" si="3"/>
        <v/>
      </c>
      <c r="Y5" s="127" t="str">
        <f t="shared" si="4"/>
        <v/>
      </c>
      <c r="Z5" s="154" t="str">
        <f>IFERROR(AVERAGEIF('Daily KPI'!D:D,Table14[[#This Row],[Month]],'Daily KPI'!AB:AB),"")</f>
        <v/>
      </c>
      <c r="AA5" s="150" t="str">
        <f>IFERROR(AVERAGEIF($F$2:F5,F5,$Z$2:Z5),"")</f>
        <v/>
      </c>
      <c r="AB5" s="155"/>
      <c r="AC5" s="154">
        <v>7.1310648756787653</v>
      </c>
      <c r="AD5" s="154">
        <f>AVERAGEIF($F$2:F5,F5,$AC$2:AC5)</f>
        <v>6.2836120320091453</v>
      </c>
      <c r="AE5" s="127">
        <f t="shared" si="5"/>
        <v>0.96029999999999993</v>
      </c>
      <c r="AF5" s="127">
        <v>0.995</v>
      </c>
      <c r="AG5" s="127"/>
      <c r="AH5" s="127">
        <v>0.97</v>
      </c>
      <c r="AI5" s="127">
        <v>0.99</v>
      </c>
      <c r="AJ5" s="127">
        <v>0.95</v>
      </c>
      <c r="AK5" s="127">
        <v>0.05</v>
      </c>
      <c r="AL5" s="127">
        <v>0.05</v>
      </c>
      <c r="AM5" s="175"/>
      <c r="AN5" s="175"/>
    </row>
    <row r="6" spans="1:43">
      <c r="A6" s="149">
        <f t="shared" si="6"/>
        <v>5</v>
      </c>
      <c r="B6" s="148" t="s">
        <v>428</v>
      </c>
      <c r="C6" s="149">
        <v>8</v>
      </c>
      <c r="D6" s="148">
        <v>44409</v>
      </c>
      <c r="E6" s="128">
        <f t="shared" si="7"/>
        <v>2021</v>
      </c>
      <c r="F6" s="128" t="s">
        <v>422</v>
      </c>
      <c r="G6" s="147">
        <f t="shared" si="8"/>
        <v>31</v>
      </c>
      <c r="H6" s="150"/>
      <c r="I6" s="150"/>
      <c r="J6" s="151">
        <v>6.8666666666666671</v>
      </c>
      <c r="K6" s="150"/>
      <c r="L6" s="147"/>
      <c r="M6" s="152">
        <v>22159.716479999999</v>
      </c>
      <c r="N6" s="152">
        <v>80</v>
      </c>
      <c r="O6" s="129"/>
      <c r="P6" s="151"/>
      <c r="Q6" s="147">
        <f>COUNTIFS('Daily KPI'!$D:$D,D6,'Daily KPI'!$M:$M,"&gt;0")</f>
        <v>0</v>
      </c>
      <c r="R6" s="152"/>
      <c r="S6" s="152"/>
      <c r="T6" s="151">
        <f t="shared" si="0"/>
        <v>714.82956387096772</v>
      </c>
      <c r="U6" s="152">
        <f t="shared" si="1"/>
        <v>0</v>
      </c>
      <c r="V6" s="152">
        <f>SUMIF($F$2:F6,F6,$U$2:U6)</f>
        <v>0</v>
      </c>
      <c r="W6" s="129">
        <f t="shared" si="2"/>
        <v>0.37230706451612899</v>
      </c>
      <c r="X6" s="129" t="str">
        <f t="shared" si="3"/>
        <v/>
      </c>
      <c r="Y6" s="129" t="str">
        <f t="shared" si="4"/>
        <v/>
      </c>
      <c r="Z6" s="151" t="str">
        <f>IFERROR(AVERAGEIF('Daily KPI'!D:D,Table14[[#This Row],[Month]],'Daily KPI'!AB:AB),"")</f>
        <v/>
      </c>
      <c r="AA6" s="150" t="str">
        <f>IFERROR(AVERAGEIF($F$2:F6,F6,$Z$2:Z6),"")</f>
        <v/>
      </c>
      <c r="AB6" s="152"/>
      <c r="AC6" s="151">
        <v>9.4530328665332952</v>
      </c>
      <c r="AD6" s="151">
        <f>AVERAGEIF($F$2:F6,F6,$AC$2:AC6)</f>
        <v>6.9174961989139749</v>
      </c>
      <c r="AE6" s="129">
        <f t="shared" si="5"/>
        <v>0.96029999999999993</v>
      </c>
      <c r="AF6" s="129">
        <v>0.995</v>
      </c>
      <c r="AG6" s="129"/>
      <c r="AH6" s="129">
        <v>0.97</v>
      </c>
      <c r="AI6" s="129">
        <v>0.99</v>
      </c>
      <c r="AJ6" s="129">
        <v>0.95</v>
      </c>
      <c r="AK6" s="129">
        <v>0.05</v>
      </c>
      <c r="AL6" s="129">
        <v>0.05</v>
      </c>
      <c r="AM6" s="175"/>
      <c r="AN6" s="175"/>
      <c r="AQ6" s="156"/>
    </row>
    <row r="7" spans="1:43">
      <c r="A7" s="149">
        <f t="shared" si="6"/>
        <v>6</v>
      </c>
      <c r="B7" s="148" t="s">
        <v>429</v>
      </c>
      <c r="C7" s="149">
        <v>9</v>
      </c>
      <c r="D7" s="148">
        <v>44440</v>
      </c>
      <c r="E7" s="126">
        <f t="shared" si="7"/>
        <v>2021</v>
      </c>
      <c r="F7" s="128" t="s">
        <v>422</v>
      </c>
      <c r="G7" s="149">
        <f t="shared" si="8"/>
        <v>30</v>
      </c>
      <c r="H7" s="153"/>
      <c r="I7" s="153"/>
      <c r="J7" s="154">
        <v>5.0333333333333332</v>
      </c>
      <c r="K7" s="153"/>
      <c r="L7" s="149"/>
      <c r="M7" s="155">
        <v>9726.9638400000003</v>
      </c>
      <c r="N7" s="155">
        <v>80</v>
      </c>
      <c r="O7" s="127"/>
      <c r="P7" s="154"/>
      <c r="Q7" s="149">
        <f>COUNTIFS('Daily KPI'!$D:$D,D7,'Daily KPI'!$M:$M,"&gt;0")</f>
        <v>0</v>
      </c>
      <c r="R7" s="155"/>
      <c r="S7" s="155"/>
      <c r="T7" s="154">
        <f t="shared" si="0"/>
        <v>324.23212799999999</v>
      </c>
      <c r="U7" s="155">
        <f t="shared" si="1"/>
        <v>0</v>
      </c>
      <c r="V7" s="155">
        <f>SUMIF($F$2:F7,F7,$U$2:U7)</f>
        <v>0</v>
      </c>
      <c r="W7" s="127">
        <f t="shared" si="2"/>
        <v>0.16887089999999999</v>
      </c>
      <c r="X7" s="127" t="str">
        <f t="shared" si="3"/>
        <v/>
      </c>
      <c r="Y7" s="127" t="str">
        <f t="shared" si="4"/>
        <v/>
      </c>
      <c r="Z7" s="154" t="str">
        <f>IFERROR(AVERAGEIF('Daily KPI'!D:D,Table14[[#This Row],[Month]],'Daily KPI'!AB:AB),"")</f>
        <v/>
      </c>
      <c r="AA7" s="150" t="str">
        <f>IFERROR(AVERAGEIF($F$2:F7,F7,$Z$2:Z7),"")</f>
        <v/>
      </c>
      <c r="AB7" s="155"/>
      <c r="AC7" s="154">
        <v>10.303759359817088</v>
      </c>
      <c r="AD7" s="154">
        <f>AVERAGEIF($F$2:F7,F7,$AC$2:AC7)</f>
        <v>7.4818733923978264</v>
      </c>
      <c r="AE7" s="127">
        <f t="shared" si="5"/>
        <v>0.96029999999999993</v>
      </c>
      <c r="AF7" s="127">
        <v>0.995</v>
      </c>
      <c r="AG7" s="127"/>
      <c r="AH7" s="127">
        <v>0.97</v>
      </c>
      <c r="AI7" s="127">
        <v>0.99</v>
      </c>
      <c r="AJ7" s="127">
        <v>0.95</v>
      </c>
      <c r="AK7" s="127">
        <v>0.05</v>
      </c>
      <c r="AL7" s="127">
        <v>0.05</v>
      </c>
      <c r="AM7" s="175"/>
      <c r="AN7" s="175"/>
    </row>
    <row r="8" spans="1:43">
      <c r="A8" s="149">
        <f t="shared" si="6"/>
        <v>7</v>
      </c>
      <c r="B8" s="148" t="s">
        <v>430</v>
      </c>
      <c r="C8" s="149">
        <v>10</v>
      </c>
      <c r="D8" s="148">
        <v>44470</v>
      </c>
      <c r="E8" s="128">
        <f t="shared" si="7"/>
        <v>2021</v>
      </c>
      <c r="F8" s="128" t="s">
        <v>422</v>
      </c>
      <c r="G8" s="147">
        <f t="shared" si="8"/>
        <v>31</v>
      </c>
      <c r="H8" s="150"/>
      <c r="I8" s="150"/>
      <c r="J8" s="151">
        <v>3.9666666666666668</v>
      </c>
      <c r="K8" s="150"/>
      <c r="L8" s="147"/>
      <c r="M8" s="152">
        <v>5924.9836800000003</v>
      </c>
      <c r="N8" s="152">
        <v>80</v>
      </c>
      <c r="O8" s="129"/>
      <c r="P8" s="151"/>
      <c r="Q8" s="147">
        <f>COUNTIFS('Daily KPI'!$D:$D,D8,'Daily KPI'!$M:$M,"&gt;0")</f>
        <v>0</v>
      </c>
      <c r="R8" s="152"/>
      <c r="S8" s="152"/>
      <c r="T8" s="151">
        <f t="shared" si="0"/>
        <v>191.12850580645161</v>
      </c>
      <c r="U8" s="152">
        <f t="shared" si="1"/>
        <v>0</v>
      </c>
      <c r="V8" s="152">
        <f>SUMIF($F$2:F8,F8,$U$2:U8)</f>
        <v>0</v>
      </c>
      <c r="W8" s="129">
        <f t="shared" si="2"/>
        <v>9.9546096774193543E-2</v>
      </c>
      <c r="X8" s="129" t="str">
        <f t="shared" si="3"/>
        <v/>
      </c>
      <c r="Y8" s="129" t="str">
        <f t="shared" si="4"/>
        <v/>
      </c>
      <c r="Z8" s="151" t="str">
        <f>IFERROR(AVERAGEIF('Daily KPI'!D:D,Table14[[#This Row],[Month]],'Daily KPI'!AB:AB),"")</f>
        <v/>
      </c>
      <c r="AA8" s="150" t="str">
        <f>IFERROR(AVERAGEIF($F$2:F8,F8,$Z$2:Z8),"")</f>
        <v/>
      </c>
      <c r="AB8" s="152"/>
      <c r="AC8" s="151">
        <v>8.5195147184909956</v>
      </c>
      <c r="AD8" s="151">
        <f>AVERAGEIF($F$2:F8,F8,$AC$2:AC8)</f>
        <v>7.6301078675539937</v>
      </c>
      <c r="AE8" s="129">
        <f t="shared" si="5"/>
        <v>0.96029999999999993</v>
      </c>
      <c r="AF8" s="129">
        <v>0.995</v>
      </c>
      <c r="AG8" s="129"/>
      <c r="AH8" s="129">
        <v>0.97</v>
      </c>
      <c r="AI8" s="129">
        <v>0.99</v>
      </c>
      <c r="AJ8" s="129">
        <v>0.95</v>
      </c>
      <c r="AK8" s="129">
        <v>0.05</v>
      </c>
      <c r="AL8" s="129">
        <v>0.05</v>
      </c>
      <c r="AM8" s="175"/>
      <c r="AN8" s="175"/>
    </row>
    <row r="9" spans="1:43">
      <c r="A9" s="149">
        <f t="shared" si="6"/>
        <v>8</v>
      </c>
      <c r="B9" s="148" t="s">
        <v>431</v>
      </c>
      <c r="C9" s="149">
        <v>11</v>
      </c>
      <c r="D9" s="148">
        <v>44501</v>
      </c>
      <c r="E9" s="126">
        <f t="shared" si="7"/>
        <v>2021</v>
      </c>
      <c r="F9" s="128" t="s">
        <v>422</v>
      </c>
      <c r="G9" s="149">
        <f t="shared" si="8"/>
        <v>30</v>
      </c>
      <c r="H9" s="153"/>
      <c r="I9" s="153"/>
      <c r="J9" s="154">
        <v>4.0333333333333332</v>
      </c>
      <c r="K9" s="153"/>
      <c r="L9" s="149"/>
      <c r="M9" s="155">
        <v>5661.3427200000006</v>
      </c>
      <c r="N9" s="155">
        <v>80</v>
      </c>
      <c r="O9" s="127"/>
      <c r="P9" s="154"/>
      <c r="Q9" s="149">
        <f>COUNTIFS('Daily KPI'!$D:$D,D9,'Daily KPI'!$M:$M,"&gt;0")</f>
        <v>0</v>
      </c>
      <c r="R9" s="155"/>
      <c r="S9" s="155"/>
      <c r="T9" s="154">
        <f t="shared" si="0"/>
        <v>188.71142400000002</v>
      </c>
      <c r="U9" s="155">
        <f t="shared" si="1"/>
        <v>0</v>
      </c>
      <c r="V9" s="155">
        <f>SUMIF($F$2:F9,F9,$U$2:U9)</f>
        <v>0</v>
      </c>
      <c r="W9" s="127">
        <f t="shared" si="2"/>
        <v>9.8287200000000005E-2</v>
      </c>
      <c r="X9" s="127" t="str">
        <f t="shared" si="3"/>
        <v/>
      </c>
      <c r="Y9" s="127" t="str">
        <f t="shared" si="4"/>
        <v/>
      </c>
      <c r="Z9" s="154" t="str">
        <f>IFERROR(AVERAGEIF('Daily KPI'!D:D,Table14[[#This Row],[Month]],'Daily KPI'!AB:AB),"")</f>
        <v/>
      </c>
      <c r="AA9" s="150" t="str">
        <f>IFERROR(AVERAGEIF($F$2:F9,F9,$Z$2:Z9),"")</f>
        <v/>
      </c>
      <c r="AB9" s="155"/>
      <c r="AC9" s="154">
        <v>7.2366664761360369</v>
      </c>
      <c r="AD9" s="154">
        <f>AVERAGEIF($F$2:F9,F9,$AC$2:AC9)</f>
        <v>7.5809276936267489</v>
      </c>
      <c r="AE9" s="127">
        <f t="shared" si="5"/>
        <v>0.96029999999999993</v>
      </c>
      <c r="AF9" s="127">
        <v>0.995</v>
      </c>
      <c r="AG9" s="127"/>
      <c r="AH9" s="127">
        <v>0.97</v>
      </c>
      <c r="AI9" s="127">
        <v>0.99</v>
      </c>
      <c r="AJ9" s="127">
        <v>0.95</v>
      </c>
      <c r="AK9" s="127">
        <v>0.05</v>
      </c>
      <c r="AL9" s="127">
        <v>0.05</v>
      </c>
      <c r="AM9" s="175"/>
      <c r="AN9" s="175"/>
    </row>
    <row r="10" spans="1:43">
      <c r="A10" s="149">
        <f t="shared" si="6"/>
        <v>9</v>
      </c>
      <c r="B10" s="148" t="s">
        <v>432</v>
      </c>
      <c r="C10" s="149">
        <v>12</v>
      </c>
      <c r="D10" s="148">
        <v>44531</v>
      </c>
      <c r="E10" s="128">
        <f t="shared" si="7"/>
        <v>2021</v>
      </c>
      <c r="F10" s="128" t="s">
        <v>422</v>
      </c>
      <c r="G10" s="147">
        <f t="shared" si="8"/>
        <v>31</v>
      </c>
      <c r="H10" s="150"/>
      <c r="I10" s="150"/>
      <c r="J10" s="151">
        <v>4.4333333333333336</v>
      </c>
      <c r="K10" s="150"/>
      <c r="L10" s="147"/>
      <c r="M10" s="152">
        <v>6618.7756799999997</v>
      </c>
      <c r="N10" s="152">
        <v>80</v>
      </c>
      <c r="O10" s="129"/>
      <c r="P10" s="151"/>
      <c r="Q10" s="147">
        <f>COUNTIFS('Daily KPI'!$D:$D,D10,'Daily KPI'!$M:$M,"&gt;0")</f>
        <v>0</v>
      </c>
      <c r="R10" s="152"/>
      <c r="S10" s="152"/>
      <c r="T10" s="151">
        <f t="shared" si="0"/>
        <v>213.50889290322579</v>
      </c>
      <c r="U10" s="152">
        <f t="shared" si="1"/>
        <v>0</v>
      </c>
      <c r="V10" s="152">
        <f>SUMIF($F$2:F10,F10,$U$2:U10)</f>
        <v>0</v>
      </c>
      <c r="W10" s="129">
        <f t="shared" si="2"/>
        <v>0.11120254838709677</v>
      </c>
      <c r="X10" s="129" t="str">
        <f t="shared" si="3"/>
        <v/>
      </c>
      <c r="Y10" s="129" t="str">
        <f t="shared" si="4"/>
        <v/>
      </c>
      <c r="Z10" s="151" t="str">
        <f>IFERROR(AVERAGEIF('Daily KPI'!D:D,Table14[[#This Row],[Month]],'Daily KPI'!AB:AB),"")</f>
        <v/>
      </c>
      <c r="AA10" s="150" t="str">
        <f>IFERROR(AVERAGEIF($F$2:F10,F10,$Z$2:Z10),"")</f>
        <v/>
      </c>
      <c r="AB10" s="152"/>
      <c r="AC10" s="151">
        <v>6.0015501571877659</v>
      </c>
      <c r="AD10" s="151">
        <f>AVERAGEIF($F$2:F10,F10,$AC$2:AC10)</f>
        <v>7.4054413006890849</v>
      </c>
      <c r="AE10" s="129">
        <f t="shared" si="5"/>
        <v>0.96029999999999993</v>
      </c>
      <c r="AF10" s="129">
        <v>0.995</v>
      </c>
      <c r="AG10" s="129"/>
      <c r="AH10" s="129">
        <v>0.97</v>
      </c>
      <c r="AI10" s="129">
        <v>0.99</v>
      </c>
      <c r="AJ10" s="129">
        <v>0.95</v>
      </c>
      <c r="AK10" s="129">
        <v>0.05</v>
      </c>
      <c r="AL10" s="129">
        <v>0.05</v>
      </c>
      <c r="AM10" s="175"/>
      <c r="AN10" s="175"/>
    </row>
    <row r="11" spans="1:43">
      <c r="A11" s="149">
        <f t="shared" si="6"/>
        <v>10</v>
      </c>
      <c r="B11" s="148" t="s">
        <v>433</v>
      </c>
      <c r="C11" s="149">
        <v>1</v>
      </c>
      <c r="D11" s="148">
        <v>44562</v>
      </c>
      <c r="E11" s="126">
        <f t="shared" si="7"/>
        <v>2022</v>
      </c>
      <c r="F11" s="128" t="s">
        <v>422</v>
      </c>
      <c r="G11" s="149">
        <f t="shared" si="8"/>
        <v>31</v>
      </c>
      <c r="H11" s="153"/>
      <c r="I11" s="153"/>
      <c r="J11" s="154">
        <v>3.8</v>
      </c>
      <c r="K11" s="153"/>
      <c r="L11" s="149"/>
      <c r="M11" s="155">
        <v>4606.7788799999998</v>
      </c>
      <c r="N11" s="155">
        <v>80</v>
      </c>
      <c r="O11" s="127"/>
      <c r="P11" s="154"/>
      <c r="Q11" s="149">
        <f>COUNTIFS('Daily KPI'!$D:$D,D11,'Daily KPI'!$M:$M,"&gt;0")</f>
        <v>0</v>
      </c>
      <c r="R11" s="155"/>
      <c r="S11" s="155"/>
      <c r="T11" s="154">
        <f t="shared" si="0"/>
        <v>148.60577032258064</v>
      </c>
      <c r="U11" s="155">
        <f t="shared" si="1"/>
        <v>0</v>
      </c>
      <c r="V11" s="155">
        <f>SUMIF($F$2:F11,F11,$U$2:U11)</f>
        <v>0</v>
      </c>
      <c r="W11" s="127">
        <f t="shared" si="2"/>
        <v>7.7398838709677412E-2</v>
      </c>
      <c r="X11" s="127" t="str">
        <f t="shared" si="3"/>
        <v/>
      </c>
      <c r="Y11" s="127" t="str">
        <f t="shared" si="4"/>
        <v/>
      </c>
      <c r="Z11" s="154" t="str">
        <f>IFERROR(AVERAGEIF('Daily KPI'!D:D,Table14[[#This Row],[Month]],'Daily KPI'!AB:AB),"")</f>
        <v/>
      </c>
      <c r="AA11" s="150" t="str">
        <f>IFERROR(AVERAGEIF($F$2:F11,F11,$Z$2:Z11),"")</f>
        <v/>
      </c>
      <c r="AB11" s="155"/>
      <c r="AC11" s="154">
        <v>6.7073912546441834</v>
      </c>
      <c r="AD11" s="154">
        <f>AVERAGEIF($F$2:F11,F11,$AC$2:AC11)</f>
        <v>7.3356362960845942</v>
      </c>
      <c r="AE11" s="127">
        <f t="shared" si="5"/>
        <v>0.96029999999999993</v>
      </c>
      <c r="AF11" s="127">
        <v>0.995</v>
      </c>
      <c r="AG11" s="127"/>
      <c r="AH11" s="127">
        <v>0.97</v>
      </c>
      <c r="AI11" s="127">
        <v>0.99</v>
      </c>
      <c r="AJ11" s="127">
        <v>0.95</v>
      </c>
      <c r="AK11" s="127">
        <v>0.05</v>
      </c>
      <c r="AL11" s="127">
        <v>0.05</v>
      </c>
      <c r="AM11" s="175"/>
      <c r="AN11" s="175"/>
    </row>
    <row r="12" spans="1:43">
      <c r="A12" s="149">
        <f t="shared" si="6"/>
        <v>11</v>
      </c>
      <c r="B12" s="148" t="s">
        <v>434</v>
      </c>
      <c r="C12" s="149">
        <v>2</v>
      </c>
      <c r="D12" s="148">
        <v>44593</v>
      </c>
      <c r="E12" s="128">
        <f t="shared" si="7"/>
        <v>2022</v>
      </c>
      <c r="F12" s="128" t="s">
        <v>422</v>
      </c>
      <c r="G12" s="147">
        <f t="shared" si="8"/>
        <v>28</v>
      </c>
      <c r="H12" s="150"/>
      <c r="I12" s="150"/>
      <c r="J12" s="151">
        <v>4.3</v>
      </c>
      <c r="K12" s="150"/>
      <c r="L12" s="147"/>
      <c r="M12" s="152">
        <v>5619.7152000000006</v>
      </c>
      <c r="N12" s="152">
        <v>80</v>
      </c>
      <c r="O12" s="129"/>
      <c r="P12" s="151"/>
      <c r="Q12" s="147">
        <f>COUNTIFS('Daily KPI'!$D:$D,D12,'Daily KPI'!$M:$M,"&gt;0")</f>
        <v>0</v>
      </c>
      <c r="R12" s="152"/>
      <c r="S12" s="152"/>
      <c r="T12" s="151">
        <f t="shared" si="0"/>
        <v>200.7041142857143</v>
      </c>
      <c r="U12" s="152">
        <f t="shared" si="1"/>
        <v>0</v>
      </c>
      <c r="V12" s="152">
        <f>SUMIF($F$2:F12,F12,$U$2:U12)</f>
        <v>0</v>
      </c>
      <c r="W12" s="129">
        <f t="shared" si="2"/>
        <v>0.10453339285714286</v>
      </c>
      <c r="X12" s="129" t="str">
        <f t="shared" si="3"/>
        <v/>
      </c>
      <c r="Y12" s="129" t="str">
        <f t="shared" si="4"/>
        <v/>
      </c>
      <c r="Z12" s="151" t="str">
        <f>IFERROR(AVERAGEIF('Daily KPI'!D:D,Table14[[#This Row],[Month]],'Daily KPI'!AB:AB),"")</f>
        <v/>
      </c>
      <c r="AA12" s="150" t="str">
        <f>IFERROR(AVERAGEIF($F$2:F12,F12,$Z$2:Z12),"")</f>
        <v/>
      </c>
      <c r="AB12" s="152"/>
      <c r="AC12" s="151">
        <v>7.0533420977422105</v>
      </c>
      <c r="AD12" s="151">
        <f>AVERAGEIF($F$2:F12,F12,$AC$2:AC12)</f>
        <v>7.3099731871443785</v>
      </c>
      <c r="AE12" s="129">
        <f t="shared" si="5"/>
        <v>0.96029999999999993</v>
      </c>
      <c r="AF12" s="129">
        <v>0.995</v>
      </c>
      <c r="AG12" s="129"/>
      <c r="AH12" s="129">
        <v>0.97</v>
      </c>
      <c r="AI12" s="129">
        <v>0.99</v>
      </c>
      <c r="AJ12" s="129">
        <v>0.95</v>
      </c>
      <c r="AK12" s="129">
        <v>0.05</v>
      </c>
      <c r="AL12" s="129">
        <v>0.05</v>
      </c>
      <c r="AM12" s="175"/>
      <c r="AN12" s="175"/>
    </row>
    <row r="13" spans="1:43">
      <c r="A13" s="149">
        <f t="shared" si="6"/>
        <v>12</v>
      </c>
      <c r="B13" s="148" t="s">
        <v>435</v>
      </c>
      <c r="C13" s="149">
        <v>3</v>
      </c>
      <c r="D13" s="148">
        <v>44621</v>
      </c>
      <c r="E13" s="126">
        <f t="shared" si="7"/>
        <v>2022</v>
      </c>
      <c r="F13" s="128" t="s">
        <v>422</v>
      </c>
      <c r="G13" s="149">
        <f t="shared" si="8"/>
        <v>31</v>
      </c>
      <c r="H13" s="153"/>
      <c r="I13" s="153"/>
      <c r="J13" s="154">
        <v>4.5999999999999996</v>
      </c>
      <c r="K13" s="153"/>
      <c r="L13" s="149"/>
      <c r="M13" s="155">
        <v>7950.856319999999</v>
      </c>
      <c r="N13" s="155">
        <v>80</v>
      </c>
      <c r="O13" s="127"/>
      <c r="P13" s="154"/>
      <c r="Q13" s="149">
        <f>COUNTIFS('Daily KPI'!$D:$D,D13,'Daily KPI'!$M:$M,"&gt;0")</f>
        <v>0</v>
      </c>
      <c r="R13" s="155"/>
      <c r="S13" s="155"/>
      <c r="T13" s="154">
        <f t="shared" si="0"/>
        <v>256.47923612903224</v>
      </c>
      <c r="U13" s="155">
        <f t="shared" si="1"/>
        <v>0</v>
      </c>
      <c r="V13" s="155">
        <f>SUMIF($F$2:F13,F13,$U$2:U13)</f>
        <v>0</v>
      </c>
      <c r="W13" s="127">
        <f t="shared" si="2"/>
        <v>0.13358293548387096</v>
      </c>
      <c r="X13" s="127" t="str">
        <f t="shared" si="3"/>
        <v/>
      </c>
      <c r="Y13" s="127" t="str">
        <f t="shared" si="4"/>
        <v/>
      </c>
      <c r="Z13" s="154" t="str">
        <f>IFERROR(AVERAGEIF('Daily KPI'!D:D,Table14[[#This Row],[Month]],'Daily KPI'!AB:AB),"")</f>
        <v/>
      </c>
      <c r="AA13" s="150" t="str">
        <f>IFERROR(AVERAGEIF($F$2:F13,F13,$Z$2:Z13),"")</f>
        <v/>
      </c>
      <c r="AB13" s="155"/>
      <c r="AC13" s="154">
        <v>7.411120320091455</v>
      </c>
      <c r="AD13" s="154">
        <f>AVERAGEIF($F$2:F13,F13,$AC$2:AC13)</f>
        <v>7.3184021148899676</v>
      </c>
      <c r="AE13" s="127">
        <f t="shared" si="5"/>
        <v>0.96029999999999993</v>
      </c>
      <c r="AF13" s="127">
        <v>0.995</v>
      </c>
      <c r="AG13" s="127"/>
      <c r="AH13" s="127">
        <v>0.97</v>
      </c>
      <c r="AI13" s="127">
        <v>0.99</v>
      </c>
      <c r="AJ13" s="127">
        <v>0.95</v>
      </c>
      <c r="AK13" s="127">
        <v>0.05</v>
      </c>
      <c r="AL13" s="127">
        <v>0.05</v>
      </c>
      <c r="AM13" s="175"/>
      <c r="AN13" s="175"/>
    </row>
    <row r="14" spans="1:43">
      <c r="A14" s="149">
        <f t="shared" si="6"/>
        <v>13</v>
      </c>
      <c r="B14" s="148" t="str">
        <f>B2</f>
        <v>April</v>
      </c>
      <c r="C14" s="149">
        <f>C2</f>
        <v>4</v>
      </c>
      <c r="D14" s="148">
        <v>44652</v>
      </c>
      <c r="E14" s="128">
        <f t="shared" si="7"/>
        <v>2022</v>
      </c>
      <c r="F14" s="128" t="s">
        <v>436</v>
      </c>
      <c r="G14" s="147">
        <f t="shared" si="8"/>
        <v>30</v>
      </c>
      <c r="H14" s="150"/>
      <c r="I14" s="150"/>
      <c r="J14" s="151">
        <f>J2</f>
        <v>5.6333333333333329</v>
      </c>
      <c r="K14" s="150"/>
      <c r="L14" s="147"/>
      <c r="M14" s="152">
        <v>11863.843200000001</v>
      </c>
      <c r="N14" s="152">
        <v>80</v>
      </c>
      <c r="O14" s="129"/>
      <c r="P14" s="151"/>
      <c r="Q14" s="147">
        <f>COUNTIFS('Daily KPI'!$D:$D,D14,'Daily KPI'!$M:$M,"&gt;0")</f>
        <v>0</v>
      </c>
      <c r="R14" s="152"/>
      <c r="S14" s="152"/>
      <c r="T14" s="151">
        <f t="shared" si="0"/>
        <v>395.46144000000004</v>
      </c>
      <c r="U14" s="152">
        <f t="shared" si="1"/>
        <v>0</v>
      </c>
      <c r="V14" s="152">
        <f>SUMIF($F$2:F14,F14,$U$2:U14)</f>
        <v>0</v>
      </c>
      <c r="W14" s="129">
        <f t="shared" si="2"/>
        <v>0.20596950000000003</v>
      </c>
      <c r="X14" s="129" t="str">
        <f t="shared" si="3"/>
        <v/>
      </c>
      <c r="Y14" s="129" t="str">
        <f t="shared" si="4"/>
        <v/>
      </c>
      <c r="Z14" s="151" t="str">
        <f>IFERROR(AVERAGEIF('Daily KPI'!D:D,Table14[[#This Row],[Month]],'Daily KPI'!AB:AB),"")</f>
        <v/>
      </c>
      <c r="AA14" s="150" t="str">
        <f>IFERROR(AVERAGEIF($F$2:F14,F14,$Z$2:Z14),"")</f>
        <v/>
      </c>
      <c r="AB14" s="152"/>
      <c r="AC14" s="151">
        <v>6.4041034581308942</v>
      </c>
      <c r="AD14" s="151">
        <f>AVERAGEIF($F$2:F14,F14,$AC$2:AC14)</f>
        <v>6.4041034581308942</v>
      </c>
      <c r="AE14" s="129">
        <f t="shared" si="5"/>
        <v>0.96029999999999993</v>
      </c>
      <c r="AF14" s="129">
        <v>0.995</v>
      </c>
      <c r="AG14" s="129"/>
      <c r="AH14" s="129">
        <v>0.97</v>
      </c>
      <c r="AI14" s="129">
        <v>0.99</v>
      </c>
      <c r="AJ14" s="129">
        <v>0.95</v>
      </c>
      <c r="AK14" s="129">
        <v>0.05</v>
      </c>
      <c r="AL14" s="129">
        <v>0.05</v>
      </c>
      <c r="AM14" s="175"/>
      <c r="AN14" s="175"/>
    </row>
    <row r="15" spans="1:43">
      <c r="A15" s="149">
        <f t="shared" si="6"/>
        <v>14</v>
      </c>
      <c r="B15" s="148" t="str">
        <f t="shared" ref="B15:C39" si="9">B3</f>
        <v>May</v>
      </c>
      <c r="C15" s="149">
        <f t="shared" si="9"/>
        <v>5</v>
      </c>
      <c r="D15" s="148">
        <v>44682</v>
      </c>
      <c r="E15" s="126">
        <f t="shared" si="7"/>
        <v>2022</v>
      </c>
      <c r="F15" s="128" t="s">
        <v>436</v>
      </c>
      <c r="G15" s="149">
        <f t="shared" si="8"/>
        <v>31</v>
      </c>
      <c r="H15" s="153"/>
      <c r="I15" s="153"/>
      <c r="J15" s="151">
        <f t="shared" ref="J15:J61" si="10">J3</f>
        <v>6.5666666666666664</v>
      </c>
      <c r="K15" s="153"/>
      <c r="L15" s="149"/>
      <c r="M15" s="155">
        <v>20092.21632</v>
      </c>
      <c r="N15" s="155">
        <v>80</v>
      </c>
      <c r="O15" s="127"/>
      <c r="P15" s="154"/>
      <c r="Q15" s="149">
        <f>COUNTIFS('Daily KPI'!$D:$D,D15,'Daily KPI'!$M:$M,"&gt;0")</f>
        <v>0</v>
      </c>
      <c r="R15" s="155"/>
      <c r="S15" s="155"/>
      <c r="T15" s="154">
        <f t="shared" si="0"/>
        <v>648.13601032258066</v>
      </c>
      <c r="U15" s="155">
        <f t="shared" si="1"/>
        <v>0</v>
      </c>
      <c r="V15" s="155">
        <f>SUMIF($F$2:F15,F15,$U$2:U15)</f>
        <v>0</v>
      </c>
      <c r="W15" s="127">
        <f t="shared" si="2"/>
        <v>0.33757083870967741</v>
      </c>
      <c r="X15" s="127" t="str">
        <f t="shared" si="3"/>
        <v/>
      </c>
      <c r="Y15" s="127" t="str">
        <f t="shared" si="4"/>
        <v/>
      </c>
      <c r="Z15" s="154" t="str">
        <f>IFERROR(AVERAGEIF('Daily KPI'!D:D,Table14[[#This Row],[Month]],'Daily KPI'!AB:AB),"")</f>
        <v/>
      </c>
      <c r="AA15" s="150" t="str">
        <f>IFERROR(AVERAGEIF($F$2:F15,F15,$Z$2:Z15),"")</f>
        <v/>
      </c>
      <c r="AB15" s="155"/>
      <c r="AC15" s="154">
        <v>5.9681800514432695</v>
      </c>
      <c r="AD15" s="154">
        <f>AVERAGEIF($F$2:F15,F15,$AC$2:AC15)</f>
        <v>6.1861417547870818</v>
      </c>
      <c r="AE15" s="127">
        <f t="shared" si="5"/>
        <v>0.96029999999999993</v>
      </c>
      <c r="AF15" s="127">
        <v>0.995</v>
      </c>
      <c r="AG15" s="127"/>
      <c r="AH15" s="127">
        <v>0.97</v>
      </c>
      <c r="AI15" s="127">
        <v>0.99</v>
      </c>
      <c r="AJ15" s="127">
        <v>0.95</v>
      </c>
      <c r="AK15" s="127">
        <v>0.05</v>
      </c>
      <c r="AL15" s="127">
        <v>0.05</v>
      </c>
      <c r="AM15" s="175"/>
      <c r="AN15" s="175"/>
    </row>
    <row r="16" spans="1:43">
      <c r="A16" s="149">
        <f t="shared" si="6"/>
        <v>15</v>
      </c>
      <c r="B16" s="148" t="str">
        <f t="shared" si="9"/>
        <v>June</v>
      </c>
      <c r="C16" s="149">
        <f t="shared" si="9"/>
        <v>6</v>
      </c>
      <c r="D16" s="148">
        <v>44713</v>
      </c>
      <c r="E16" s="128">
        <f t="shared" si="7"/>
        <v>2022</v>
      </c>
      <c r="F16" s="128" t="s">
        <v>436</v>
      </c>
      <c r="G16" s="147">
        <f t="shared" si="8"/>
        <v>30</v>
      </c>
      <c r="H16" s="150"/>
      <c r="I16" s="150"/>
      <c r="J16" s="151">
        <f t="shared" si="10"/>
        <v>6.5666666666666664</v>
      </c>
      <c r="K16" s="150"/>
      <c r="L16" s="147"/>
      <c r="M16" s="152">
        <v>17455.80672</v>
      </c>
      <c r="N16" s="152">
        <v>80</v>
      </c>
      <c r="O16" s="129"/>
      <c r="P16" s="151"/>
      <c r="Q16" s="147">
        <f>COUNTIFS('Daily KPI'!$D:$D,D16,'Daily KPI'!$M:$M,"&gt;0")</f>
        <v>0</v>
      </c>
      <c r="R16" s="152"/>
      <c r="S16" s="152"/>
      <c r="T16" s="151">
        <f t="shared" si="0"/>
        <v>581.86022400000002</v>
      </c>
      <c r="U16" s="152">
        <f t="shared" si="1"/>
        <v>0</v>
      </c>
      <c r="V16" s="152">
        <f>SUMIF($F$2:F16,F16,$U$2:U16)</f>
        <v>0</v>
      </c>
      <c r="W16" s="129">
        <f t="shared" si="2"/>
        <v>0.30305219999999999</v>
      </c>
      <c r="X16" s="129" t="str">
        <f t="shared" si="3"/>
        <v/>
      </c>
      <c r="Y16" s="129" t="str">
        <f t="shared" si="4"/>
        <v/>
      </c>
      <c r="Z16" s="151" t="str">
        <f>IFERROR(AVERAGEIF('Daily KPI'!D:D,Table14[[#This Row],[Month]],'Daily KPI'!AB:AB),"")</f>
        <v/>
      </c>
      <c r="AA16" s="150" t="str">
        <f>IFERROR(AVERAGEIF($F$2:F16,F16,$Z$2:Z16),"")</f>
        <v/>
      </c>
      <c r="AB16" s="152"/>
      <c r="AC16" s="151">
        <v>5.6310997427836513</v>
      </c>
      <c r="AD16" s="151">
        <f>AVERAGEIF($F$2:F16,F16,$AC$2:AC16)</f>
        <v>6.0011277507859377</v>
      </c>
      <c r="AE16" s="129">
        <f t="shared" si="5"/>
        <v>0.96029999999999993</v>
      </c>
      <c r="AF16" s="129">
        <v>0.995</v>
      </c>
      <c r="AG16" s="129"/>
      <c r="AH16" s="129">
        <v>0.97</v>
      </c>
      <c r="AI16" s="129">
        <v>0.99</v>
      </c>
      <c r="AJ16" s="129">
        <v>0.95</v>
      </c>
      <c r="AK16" s="129">
        <v>0.05</v>
      </c>
      <c r="AL16" s="129">
        <v>0.05</v>
      </c>
      <c r="AM16" s="175"/>
      <c r="AN16" s="175"/>
    </row>
    <row r="17" spans="1:40">
      <c r="A17" s="149">
        <f t="shared" si="6"/>
        <v>16</v>
      </c>
      <c r="B17" s="148" t="str">
        <f t="shared" si="9"/>
        <v>July</v>
      </c>
      <c r="C17" s="149">
        <f t="shared" si="9"/>
        <v>7</v>
      </c>
      <c r="D17" s="148">
        <v>44743</v>
      </c>
      <c r="E17" s="126">
        <f t="shared" si="7"/>
        <v>2022</v>
      </c>
      <c r="F17" s="128" t="s">
        <v>436</v>
      </c>
      <c r="G17" s="149">
        <f t="shared" si="8"/>
        <v>31</v>
      </c>
      <c r="H17" s="153"/>
      <c r="I17" s="153"/>
      <c r="J17" s="151">
        <f t="shared" si="10"/>
        <v>7.6000000000000005</v>
      </c>
      <c r="K17" s="153"/>
      <c r="L17" s="149"/>
      <c r="M17" s="155">
        <v>21077.400960000003</v>
      </c>
      <c r="N17" s="155">
        <v>80</v>
      </c>
      <c r="O17" s="127"/>
      <c r="P17" s="154"/>
      <c r="Q17" s="149">
        <f>COUNTIFS('Daily KPI'!$D:$D,D17,'Daily KPI'!$M:$M,"&gt;0")</f>
        <v>0</v>
      </c>
      <c r="R17" s="155"/>
      <c r="S17" s="155"/>
      <c r="T17" s="154">
        <f t="shared" si="0"/>
        <v>679.9161600000001</v>
      </c>
      <c r="U17" s="155">
        <f t="shared" si="1"/>
        <v>0</v>
      </c>
      <c r="V17" s="155">
        <f>SUMIF($F$2:F17,F17,$U$2:U17)</f>
        <v>0</v>
      </c>
      <c r="W17" s="127">
        <f t="shared" si="2"/>
        <v>0.35412300000000008</v>
      </c>
      <c r="X17" s="127" t="str">
        <f t="shared" si="3"/>
        <v/>
      </c>
      <c r="Y17" s="127" t="str">
        <f t="shared" si="4"/>
        <v/>
      </c>
      <c r="Z17" s="154" t="str">
        <f>IFERROR(AVERAGEIF('Daily KPI'!D:D,Table14[[#This Row],[Month]],'Daily KPI'!AB:AB),"")</f>
        <v/>
      </c>
      <c r="AA17" s="150" t="str">
        <f>IFERROR(AVERAGEIF($F$2:F17,F17,$Z$2:Z17),"")</f>
        <v/>
      </c>
      <c r="AB17" s="155"/>
      <c r="AC17" s="154">
        <v>7.1310648756787653</v>
      </c>
      <c r="AD17" s="154">
        <f>AVERAGEIF($F$2:F17,F17,$AC$2:AC17)</f>
        <v>6.2836120320091453</v>
      </c>
      <c r="AE17" s="127">
        <f t="shared" si="5"/>
        <v>0.96029999999999993</v>
      </c>
      <c r="AF17" s="127">
        <v>0.995</v>
      </c>
      <c r="AG17" s="127"/>
      <c r="AH17" s="127">
        <v>0.97</v>
      </c>
      <c r="AI17" s="127">
        <v>0.99</v>
      </c>
      <c r="AJ17" s="127">
        <v>0.95</v>
      </c>
      <c r="AK17" s="127">
        <v>0.05</v>
      </c>
      <c r="AL17" s="127">
        <v>0.05</v>
      </c>
      <c r="AM17" s="175"/>
      <c r="AN17" s="175"/>
    </row>
    <row r="18" spans="1:40">
      <c r="A18" s="149">
        <f t="shared" si="6"/>
        <v>17</v>
      </c>
      <c r="B18" s="148" t="str">
        <f t="shared" si="9"/>
        <v>August</v>
      </c>
      <c r="C18" s="149">
        <f t="shared" si="9"/>
        <v>8</v>
      </c>
      <c r="D18" s="148">
        <v>44774</v>
      </c>
      <c r="E18" s="128">
        <f t="shared" si="7"/>
        <v>2022</v>
      </c>
      <c r="F18" s="128" t="s">
        <v>436</v>
      </c>
      <c r="G18" s="147">
        <f t="shared" si="8"/>
        <v>31</v>
      </c>
      <c r="H18" s="150"/>
      <c r="I18" s="150"/>
      <c r="J18" s="151">
        <f t="shared" si="10"/>
        <v>6.8666666666666671</v>
      </c>
      <c r="K18" s="150"/>
      <c r="L18" s="147"/>
      <c r="M18" s="152">
        <v>22159.716479999999</v>
      </c>
      <c r="N18" s="152">
        <v>80</v>
      </c>
      <c r="O18" s="129"/>
      <c r="P18" s="151"/>
      <c r="Q18" s="147">
        <f>COUNTIFS('Daily KPI'!$D:$D,D18,'Daily KPI'!$M:$M,"&gt;0")</f>
        <v>0</v>
      </c>
      <c r="R18" s="152"/>
      <c r="S18" s="152"/>
      <c r="T18" s="151">
        <f t="shared" si="0"/>
        <v>714.82956387096772</v>
      </c>
      <c r="U18" s="152">
        <f t="shared" si="1"/>
        <v>0</v>
      </c>
      <c r="V18" s="152">
        <f>SUMIF($F$2:F18,F18,$U$2:U18)</f>
        <v>0</v>
      </c>
      <c r="W18" s="129">
        <f t="shared" si="2"/>
        <v>0.37230706451612899</v>
      </c>
      <c r="X18" s="129" t="str">
        <f t="shared" si="3"/>
        <v/>
      </c>
      <c r="Y18" s="129" t="str">
        <f t="shared" si="4"/>
        <v/>
      </c>
      <c r="Z18" s="151" t="str">
        <f>IFERROR(AVERAGEIF('Daily KPI'!D:D,Table14[[#This Row],[Month]],'Daily KPI'!AB:AB),"")</f>
        <v/>
      </c>
      <c r="AA18" s="150" t="str">
        <f>IFERROR(AVERAGEIF($F$2:F18,F18,$Z$2:Z18),"")</f>
        <v/>
      </c>
      <c r="AB18" s="152"/>
      <c r="AC18" s="151">
        <v>9.4530328665332952</v>
      </c>
      <c r="AD18" s="151">
        <f>AVERAGEIF($F$2:F18,F18,$AC$2:AC18)</f>
        <v>6.9174961989139749</v>
      </c>
      <c r="AE18" s="129">
        <f t="shared" si="5"/>
        <v>0.96029999999999993</v>
      </c>
      <c r="AF18" s="129">
        <v>0.995</v>
      </c>
      <c r="AG18" s="129"/>
      <c r="AH18" s="129">
        <v>0.97</v>
      </c>
      <c r="AI18" s="129">
        <v>0.99</v>
      </c>
      <c r="AJ18" s="129">
        <v>0.95</v>
      </c>
      <c r="AK18" s="129">
        <v>0.05</v>
      </c>
      <c r="AL18" s="129">
        <v>0.05</v>
      </c>
      <c r="AM18" s="175"/>
      <c r="AN18" s="175"/>
    </row>
    <row r="19" spans="1:40">
      <c r="A19" s="149">
        <f t="shared" si="6"/>
        <v>18</v>
      </c>
      <c r="B19" s="148" t="str">
        <f t="shared" si="9"/>
        <v>September</v>
      </c>
      <c r="C19" s="149">
        <f t="shared" si="9"/>
        <v>9</v>
      </c>
      <c r="D19" s="148">
        <v>44805</v>
      </c>
      <c r="E19" s="126">
        <f t="shared" si="7"/>
        <v>2022</v>
      </c>
      <c r="F19" s="128" t="s">
        <v>436</v>
      </c>
      <c r="G19" s="149">
        <f t="shared" si="8"/>
        <v>30</v>
      </c>
      <c r="H19" s="153"/>
      <c r="I19" s="153"/>
      <c r="J19" s="151">
        <f t="shared" si="10"/>
        <v>5.0333333333333332</v>
      </c>
      <c r="K19" s="153"/>
      <c r="L19" s="149"/>
      <c r="M19" s="155">
        <v>9726.9638400000003</v>
      </c>
      <c r="N19" s="155">
        <v>80</v>
      </c>
      <c r="O19" s="127"/>
      <c r="P19" s="154"/>
      <c r="Q19" s="149">
        <f>COUNTIFS('Daily KPI'!$D:$D,D19,'Daily KPI'!$M:$M,"&gt;0")</f>
        <v>0</v>
      </c>
      <c r="R19" s="155"/>
      <c r="S19" s="155"/>
      <c r="T19" s="154">
        <f t="shared" si="0"/>
        <v>324.23212799999999</v>
      </c>
      <c r="U19" s="155">
        <f t="shared" si="1"/>
        <v>0</v>
      </c>
      <c r="V19" s="155">
        <f>SUMIF($F$2:F19,F19,$U$2:U19)</f>
        <v>0</v>
      </c>
      <c r="W19" s="127">
        <f t="shared" si="2"/>
        <v>0.16887089999999999</v>
      </c>
      <c r="X19" s="127" t="str">
        <f t="shared" si="3"/>
        <v/>
      </c>
      <c r="Y19" s="127" t="str">
        <f t="shared" si="4"/>
        <v/>
      </c>
      <c r="Z19" s="154" t="str">
        <f>IFERROR(AVERAGEIF('Daily KPI'!D:D,Table14[[#This Row],[Month]],'Daily KPI'!AB:AB),"")</f>
        <v/>
      </c>
      <c r="AA19" s="150" t="str">
        <f>IFERROR(AVERAGEIF($F$2:F19,F19,$Z$2:Z19),"")</f>
        <v/>
      </c>
      <c r="AB19" s="155"/>
      <c r="AC19" s="154">
        <v>10.303759359817088</v>
      </c>
      <c r="AD19" s="154">
        <f>AVERAGEIF($F$2:F19,F19,$AC$2:AC19)</f>
        <v>7.4818733923978264</v>
      </c>
      <c r="AE19" s="127">
        <f t="shared" si="5"/>
        <v>0.96029999999999993</v>
      </c>
      <c r="AF19" s="127">
        <v>0.995</v>
      </c>
      <c r="AG19" s="127"/>
      <c r="AH19" s="127">
        <v>0.97</v>
      </c>
      <c r="AI19" s="127">
        <v>0.99</v>
      </c>
      <c r="AJ19" s="127">
        <v>0.95</v>
      </c>
      <c r="AK19" s="127">
        <v>0.05</v>
      </c>
      <c r="AL19" s="127">
        <v>0.05</v>
      </c>
      <c r="AM19" s="175"/>
      <c r="AN19" s="175"/>
    </row>
    <row r="20" spans="1:40">
      <c r="A20" s="149">
        <f t="shared" si="6"/>
        <v>19</v>
      </c>
      <c r="B20" s="148" t="str">
        <f t="shared" si="9"/>
        <v>October</v>
      </c>
      <c r="C20" s="149">
        <f t="shared" si="9"/>
        <v>10</v>
      </c>
      <c r="D20" s="148">
        <v>44835</v>
      </c>
      <c r="E20" s="128">
        <f t="shared" si="7"/>
        <v>2022</v>
      </c>
      <c r="F20" s="128" t="s">
        <v>436</v>
      </c>
      <c r="G20" s="147">
        <f t="shared" si="8"/>
        <v>31</v>
      </c>
      <c r="H20" s="150"/>
      <c r="I20" s="150"/>
      <c r="J20" s="151">
        <f t="shared" si="10"/>
        <v>3.9666666666666668</v>
      </c>
      <c r="K20" s="150"/>
      <c r="L20" s="147"/>
      <c r="M20" s="152">
        <v>5924.9836800000003</v>
      </c>
      <c r="N20" s="152">
        <v>80</v>
      </c>
      <c r="O20" s="129"/>
      <c r="P20" s="151"/>
      <c r="Q20" s="147">
        <f>COUNTIFS('Daily KPI'!$D:$D,D20,'Daily KPI'!$M:$M,"&gt;0")</f>
        <v>0</v>
      </c>
      <c r="R20" s="152"/>
      <c r="S20" s="152"/>
      <c r="T20" s="151">
        <f t="shared" si="0"/>
        <v>191.12850580645161</v>
      </c>
      <c r="U20" s="152">
        <f t="shared" si="1"/>
        <v>0</v>
      </c>
      <c r="V20" s="152">
        <f>SUMIF($F$2:F20,F20,$U$2:U20)</f>
        <v>0</v>
      </c>
      <c r="W20" s="129">
        <f t="shared" si="2"/>
        <v>9.9546096774193543E-2</v>
      </c>
      <c r="X20" s="129" t="str">
        <f t="shared" si="3"/>
        <v/>
      </c>
      <c r="Y20" s="129" t="str">
        <f t="shared" si="4"/>
        <v/>
      </c>
      <c r="Z20" s="151" t="str">
        <f>IFERROR(AVERAGEIF('Daily KPI'!D:D,Table14[[#This Row],[Month]],'Daily KPI'!AB:AB),"")</f>
        <v/>
      </c>
      <c r="AA20" s="150" t="str">
        <f>IFERROR(AVERAGEIF($F$2:F20,F20,$Z$2:Z20),"")</f>
        <v/>
      </c>
      <c r="AB20" s="152"/>
      <c r="AC20" s="151">
        <v>8.5195147184909956</v>
      </c>
      <c r="AD20" s="151">
        <f>AVERAGEIF($F$2:F20,F20,$AC$2:AC20)</f>
        <v>7.6301078675539937</v>
      </c>
      <c r="AE20" s="129">
        <f t="shared" si="5"/>
        <v>0.96029999999999993</v>
      </c>
      <c r="AF20" s="129">
        <v>0.995</v>
      </c>
      <c r="AG20" s="129"/>
      <c r="AH20" s="129">
        <v>0.97</v>
      </c>
      <c r="AI20" s="129">
        <v>0.99</v>
      </c>
      <c r="AJ20" s="129">
        <v>0.95</v>
      </c>
      <c r="AK20" s="129">
        <v>0.05</v>
      </c>
      <c r="AL20" s="129">
        <v>0.05</v>
      </c>
      <c r="AM20" s="175"/>
      <c r="AN20" s="175"/>
    </row>
    <row r="21" spans="1:40">
      <c r="A21" s="149">
        <f t="shared" si="6"/>
        <v>20</v>
      </c>
      <c r="B21" s="148" t="str">
        <f t="shared" si="9"/>
        <v>November</v>
      </c>
      <c r="C21" s="149">
        <f t="shared" si="9"/>
        <v>11</v>
      </c>
      <c r="D21" s="148">
        <v>44866</v>
      </c>
      <c r="E21" s="126">
        <f t="shared" si="7"/>
        <v>2022</v>
      </c>
      <c r="F21" s="128" t="s">
        <v>436</v>
      </c>
      <c r="G21" s="149">
        <f t="shared" si="8"/>
        <v>30</v>
      </c>
      <c r="H21" s="153"/>
      <c r="I21" s="153"/>
      <c r="J21" s="151">
        <f t="shared" si="10"/>
        <v>4.0333333333333332</v>
      </c>
      <c r="K21" s="153"/>
      <c r="L21" s="149"/>
      <c r="M21" s="155">
        <v>5661.3427200000006</v>
      </c>
      <c r="N21" s="155">
        <v>80</v>
      </c>
      <c r="O21" s="127"/>
      <c r="P21" s="154"/>
      <c r="Q21" s="149">
        <f>COUNTIFS('Daily KPI'!$D:$D,D21,'Daily KPI'!$M:$M,"&gt;0")</f>
        <v>0</v>
      </c>
      <c r="R21" s="155"/>
      <c r="S21" s="155"/>
      <c r="T21" s="154">
        <f t="shared" si="0"/>
        <v>188.71142400000002</v>
      </c>
      <c r="U21" s="155">
        <f t="shared" si="1"/>
        <v>0</v>
      </c>
      <c r="V21" s="155">
        <f>SUMIF($F$2:F21,F21,$U$2:U21)</f>
        <v>0</v>
      </c>
      <c r="W21" s="127">
        <f t="shared" si="2"/>
        <v>9.8287200000000005E-2</v>
      </c>
      <c r="X21" s="127" t="str">
        <f t="shared" si="3"/>
        <v/>
      </c>
      <c r="Y21" s="127" t="str">
        <f t="shared" si="4"/>
        <v/>
      </c>
      <c r="Z21" s="154" t="str">
        <f>IFERROR(AVERAGEIF('Daily KPI'!D:D,Table14[[#This Row],[Month]],'Daily KPI'!AB:AB),"")</f>
        <v/>
      </c>
      <c r="AA21" s="150" t="str">
        <f>IFERROR(AVERAGEIF($F$2:F21,F21,$Z$2:Z21),"")</f>
        <v/>
      </c>
      <c r="AB21" s="155"/>
      <c r="AC21" s="154">
        <v>7.2366664761360369</v>
      </c>
      <c r="AD21" s="154">
        <f>AVERAGEIF($F$2:F21,F21,$AC$2:AC21)</f>
        <v>7.5809276936267489</v>
      </c>
      <c r="AE21" s="127">
        <f t="shared" si="5"/>
        <v>0.96029999999999993</v>
      </c>
      <c r="AF21" s="127">
        <v>0.995</v>
      </c>
      <c r="AG21" s="127"/>
      <c r="AH21" s="127">
        <v>0.97</v>
      </c>
      <c r="AI21" s="127">
        <v>0.99</v>
      </c>
      <c r="AJ21" s="127">
        <v>0.95</v>
      </c>
      <c r="AK21" s="127">
        <v>0.05</v>
      </c>
      <c r="AL21" s="127">
        <v>0.05</v>
      </c>
      <c r="AM21" s="175"/>
      <c r="AN21" s="175"/>
    </row>
    <row r="22" spans="1:40">
      <c r="A22" s="149">
        <f t="shared" si="6"/>
        <v>21</v>
      </c>
      <c r="B22" s="148" t="str">
        <f t="shared" si="9"/>
        <v>December</v>
      </c>
      <c r="C22" s="149">
        <f t="shared" si="9"/>
        <v>12</v>
      </c>
      <c r="D22" s="148">
        <v>44896</v>
      </c>
      <c r="E22" s="128">
        <f t="shared" si="7"/>
        <v>2022</v>
      </c>
      <c r="F22" s="128" t="s">
        <v>436</v>
      </c>
      <c r="G22" s="147">
        <f t="shared" si="8"/>
        <v>31</v>
      </c>
      <c r="H22" s="150"/>
      <c r="I22" s="150"/>
      <c r="J22" s="151">
        <f t="shared" si="10"/>
        <v>4.4333333333333336</v>
      </c>
      <c r="K22" s="150"/>
      <c r="L22" s="147"/>
      <c r="M22" s="152">
        <v>6618.7756799999997</v>
      </c>
      <c r="N22" s="152">
        <v>80</v>
      </c>
      <c r="O22" s="129"/>
      <c r="P22" s="151"/>
      <c r="Q22" s="147">
        <f>COUNTIFS('Daily KPI'!$D:$D,D22,'Daily KPI'!$M:$M,"&gt;0")</f>
        <v>0</v>
      </c>
      <c r="R22" s="152"/>
      <c r="S22" s="152"/>
      <c r="T22" s="151">
        <f t="shared" si="0"/>
        <v>213.50889290322579</v>
      </c>
      <c r="U22" s="152">
        <f t="shared" si="1"/>
        <v>0</v>
      </c>
      <c r="V22" s="152">
        <f>SUMIF($F$2:F22,F22,$U$2:U22)</f>
        <v>0</v>
      </c>
      <c r="W22" s="129">
        <f t="shared" si="2"/>
        <v>0.11120254838709677</v>
      </c>
      <c r="X22" s="129" t="str">
        <f t="shared" si="3"/>
        <v/>
      </c>
      <c r="Y22" s="129" t="str">
        <f t="shared" si="4"/>
        <v/>
      </c>
      <c r="Z22" s="151" t="str">
        <f>IFERROR(AVERAGEIF('Daily KPI'!D:D,Table14[[#This Row],[Month]],'Daily KPI'!AB:AB),"")</f>
        <v/>
      </c>
      <c r="AA22" s="150" t="str">
        <f>IFERROR(AVERAGEIF($F$2:F22,F22,$Z$2:Z22),"")</f>
        <v/>
      </c>
      <c r="AB22" s="152"/>
      <c r="AC22" s="151">
        <v>6.0015501571877659</v>
      </c>
      <c r="AD22" s="151">
        <f>AVERAGEIF($F$2:F22,F22,$AC$2:AC22)</f>
        <v>7.4054413006890849</v>
      </c>
      <c r="AE22" s="129">
        <f t="shared" si="5"/>
        <v>0.96029999999999993</v>
      </c>
      <c r="AF22" s="129">
        <v>0.995</v>
      </c>
      <c r="AG22" s="129"/>
      <c r="AH22" s="129">
        <v>0.97</v>
      </c>
      <c r="AI22" s="129">
        <v>0.99</v>
      </c>
      <c r="AJ22" s="129">
        <v>0.95</v>
      </c>
      <c r="AK22" s="129">
        <v>0.05</v>
      </c>
      <c r="AL22" s="129">
        <v>0.05</v>
      </c>
      <c r="AM22" s="175"/>
      <c r="AN22" s="175"/>
    </row>
    <row r="23" spans="1:40">
      <c r="A23" s="149">
        <f t="shared" si="6"/>
        <v>22</v>
      </c>
      <c r="B23" s="148" t="str">
        <f t="shared" si="9"/>
        <v>January</v>
      </c>
      <c r="C23" s="149">
        <f t="shared" si="9"/>
        <v>1</v>
      </c>
      <c r="D23" s="148">
        <v>44927</v>
      </c>
      <c r="E23" s="126">
        <f t="shared" si="7"/>
        <v>2023</v>
      </c>
      <c r="F23" s="128" t="s">
        <v>436</v>
      </c>
      <c r="G23" s="149">
        <f t="shared" si="8"/>
        <v>31</v>
      </c>
      <c r="H23" s="153"/>
      <c r="I23" s="153"/>
      <c r="J23" s="151">
        <f t="shared" si="10"/>
        <v>3.8</v>
      </c>
      <c r="K23" s="153"/>
      <c r="L23" s="149"/>
      <c r="M23" s="155">
        <v>4606.7788799999998</v>
      </c>
      <c r="N23" s="155">
        <v>80</v>
      </c>
      <c r="O23" s="127"/>
      <c r="P23" s="154"/>
      <c r="Q23" s="149">
        <f>COUNTIFS('Daily KPI'!$D:$D,D23,'Daily KPI'!$M:$M,"&gt;0")</f>
        <v>0</v>
      </c>
      <c r="R23" s="155"/>
      <c r="S23" s="155"/>
      <c r="T23" s="154">
        <f t="shared" si="0"/>
        <v>148.60577032258064</v>
      </c>
      <c r="U23" s="155">
        <f t="shared" si="1"/>
        <v>0</v>
      </c>
      <c r="V23" s="155">
        <f>SUMIF($F$2:F23,F23,$U$2:U23)</f>
        <v>0</v>
      </c>
      <c r="W23" s="127">
        <f t="shared" si="2"/>
        <v>7.7398838709677412E-2</v>
      </c>
      <c r="X23" s="127" t="str">
        <f t="shared" si="3"/>
        <v/>
      </c>
      <c r="Y23" s="127" t="str">
        <f t="shared" si="4"/>
        <v/>
      </c>
      <c r="Z23" s="154" t="str">
        <f>IFERROR(AVERAGEIF('Daily KPI'!D:D,Table14[[#This Row],[Month]],'Daily KPI'!AB:AB),"")</f>
        <v/>
      </c>
      <c r="AA23" s="150" t="str">
        <f>IFERROR(AVERAGEIF($F$2:F23,F23,$Z$2:Z23),"")</f>
        <v/>
      </c>
      <c r="AB23" s="155"/>
      <c r="AC23" s="154">
        <v>6.7073912546441834</v>
      </c>
      <c r="AD23" s="154">
        <f>AVERAGEIF($F$2:F23,F23,$AC$2:AC23)</f>
        <v>7.3356362960845942</v>
      </c>
      <c r="AE23" s="127">
        <f t="shared" si="5"/>
        <v>0.96029999999999993</v>
      </c>
      <c r="AF23" s="127">
        <v>0.995</v>
      </c>
      <c r="AG23" s="127"/>
      <c r="AH23" s="127">
        <v>0.97</v>
      </c>
      <c r="AI23" s="127">
        <v>0.99</v>
      </c>
      <c r="AJ23" s="127">
        <v>0.95</v>
      </c>
      <c r="AK23" s="127">
        <v>0.05</v>
      </c>
      <c r="AL23" s="127">
        <v>0.05</v>
      </c>
      <c r="AM23" s="175"/>
      <c r="AN23" s="175"/>
    </row>
    <row r="24" spans="1:40">
      <c r="A24" s="149">
        <f t="shared" si="6"/>
        <v>23</v>
      </c>
      <c r="B24" s="148" t="str">
        <f t="shared" si="9"/>
        <v>February</v>
      </c>
      <c r="C24" s="149">
        <f t="shared" si="9"/>
        <v>2</v>
      </c>
      <c r="D24" s="148">
        <v>44958</v>
      </c>
      <c r="E24" s="128">
        <f>YEAR(D24)</f>
        <v>2023</v>
      </c>
      <c r="F24" s="128" t="s">
        <v>436</v>
      </c>
      <c r="G24" s="147">
        <f>DAY(EOMONTH(D24,0))</f>
        <v>28</v>
      </c>
      <c r="H24" s="150"/>
      <c r="I24" s="150"/>
      <c r="J24" s="151">
        <f t="shared" si="10"/>
        <v>4.3</v>
      </c>
      <c r="K24" s="150"/>
      <c r="L24" s="147"/>
      <c r="M24" s="152">
        <v>5619.7152000000006</v>
      </c>
      <c r="N24" s="152">
        <v>80</v>
      </c>
      <c r="O24" s="129"/>
      <c r="P24" s="151"/>
      <c r="Q24" s="147">
        <f>COUNTIFS('Daily KPI'!$D:$D,D24,'Daily KPI'!$M:$M,"&gt;0")</f>
        <v>0</v>
      </c>
      <c r="R24" s="152"/>
      <c r="S24" s="152"/>
      <c r="T24" s="151">
        <f t="shared" si="0"/>
        <v>200.7041142857143</v>
      </c>
      <c r="U24" s="152">
        <f t="shared" si="1"/>
        <v>0</v>
      </c>
      <c r="V24" s="152">
        <f>SUMIF($F$2:F24,F24,$U$2:U24)</f>
        <v>0</v>
      </c>
      <c r="W24" s="129">
        <f t="shared" si="2"/>
        <v>0.10453339285714286</v>
      </c>
      <c r="X24" s="129" t="str">
        <f t="shared" si="3"/>
        <v/>
      </c>
      <c r="Y24" s="129" t="str">
        <f t="shared" si="4"/>
        <v/>
      </c>
      <c r="Z24" s="151" t="str">
        <f>IFERROR(AVERAGEIF('Daily KPI'!D:D,Table14[[#This Row],[Month]],'Daily KPI'!AB:AB),"")</f>
        <v/>
      </c>
      <c r="AA24" s="150" t="str">
        <f>IFERROR(AVERAGEIF($F$2:F24,F24,$Z$2:Z24),"")</f>
        <v/>
      </c>
      <c r="AB24" s="152"/>
      <c r="AC24" s="151">
        <v>7.0533420977422105</v>
      </c>
      <c r="AD24" s="151">
        <f>AVERAGEIF($F$2:F24,F24,$AC$2:AC24)</f>
        <v>7.3099731871443785</v>
      </c>
      <c r="AE24" s="129">
        <f t="shared" si="5"/>
        <v>0.96029999999999993</v>
      </c>
      <c r="AF24" s="129">
        <v>0.995</v>
      </c>
      <c r="AG24" s="129"/>
      <c r="AH24" s="129">
        <v>0.97</v>
      </c>
      <c r="AI24" s="129">
        <v>0.99</v>
      </c>
      <c r="AJ24" s="129">
        <v>0.95</v>
      </c>
      <c r="AK24" s="129">
        <v>0.05</v>
      </c>
      <c r="AL24" s="129">
        <v>0.05</v>
      </c>
      <c r="AM24" s="175"/>
      <c r="AN24" s="175"/>
    </row>
    <row r="25" spans="1:40">
      <c r="A25" s="149">
        <f t="shared" si="6"/>
        <v>24</v>
      </c>
      <c r="B25" s="148" t="str">
        <f t="shared" si="9"/>
        <v>March</v>
      </c>
      <c r="C25" s="149">
        <f t="shared" si="9"/>
        <v>3</v>
      </c>
      <c r="D25" s="148">
        <v>44986</v>
      </c>
      <c r="E25" s="126">
        <f>YEAR(D25)</f>
        <v>2023</v>
      </c>
      <c r="F25" s="128" t="s">
        <v>436</v>
      </c>
      <c r="G25" s="149">
        <f>DAY(EOMONTH(D25,0))</f>
        <v>31</v>
      </c>
      <c r="H25" s="153"/>
      <c r="I25" s="153"/>
      <c r="J25" s="151">
        <f t="shared" si="10"/>
        <v>4.5999999999999996</v>
      </c>
      <c r="K25" s="153"/>
      <c r="L25" s="149"/>
      <c r="M25" s="155">
        <v>7950.856319999999</v>
      </c>
      <c r="N25" s="155">
        <v>80</v>
      </c>
      <c r="O25" s="127"/>
      <c r="P25" s="154"/>
      <c r="Q25" s="149">
        <f>COUNTIFS('Daily KPI'!$D:$D,D25,'Daily KPI'!$M:$M,"&gt;0")</f>
        <v>0</v>
      </c>
      <c r="R25" s="155"/>
      <c r="S25" s="155"/>
      <c r="T25" s="154">
        <f t="shared" si="0"/>
        <v>256.47923612903224</v>
      </c>
      <c r="U25" s="155">
        <f t="shared" si="1"/>
        <v>0</v>
      </c>
      <c r="V25" s="155">
        <f>SUMIF($F$2:F25,F25,$U$2:U25)</f>
        <v>0</v>
      </c>
      <c r="W25" s="127">
        <f t="shared" si="2"/>
        <v>0.13358293548387096</v>
      </c>
      <c r="X25" s="127" t="str">
        <f t="shared" si="3"/>
        <v/>
      </c>
      <c r="Y25" s="127" t="str">
        <f t="shared" si="4"/>
        <v/>
      </c>
      <c r="Z25" s="154" t="str">
        <f>IFERROR(AVERAGEIF('Daily KPI'!D:D,Table14[[#This Row],[Month]],'Daily KPI'!AB:AB),"")</f>
        <v/>
      </c>
      <c r="AA25" s="150" t="str">
        <f>IFERROR(AVERAGEIF($F$2:F25,F25,$Z$2:Z25),"")</f>
        <v/>
      </c>
      <c r="AB25" s="155"/>
      <c r="AC25" s="154">
        <v>7.411120320091455</v>
      </c>
      <c r="AD25" s="154">
        <f>AVERAGEIF($F$2:F25,F25,$AC$2:AC25)</f>
        <v>7.3184021148899676</v>
      </c>
      <c r="AE25" s="127">
        <f t="shared" si="5"/>
        <v>0.96029999999999993</v>
      </c>
      <c r="AF25" s="127">
        <v>0.995</v>
      </c>
      <c r="AG25" s="127"/>
      <c r="AH25" s="127">
        <v>0.97</v>
      </c>
      <c r="AI25" s="127">
        <v>0.99</v>
      </c>
      <c r="AJ25" s="127">
        <v>0.95</v>
      </c>
      <c r="AK25" s="127">
        <v>0.05</v>
      </c>
      <c r="AL25" s="127">
        <v>0.05</v>
      </c>
      <c r="AM25" s="175"/>
      <c r="AN25" s="175"/>
    </row>
    <row r="26" spans="1:40">
      <c r="A26" s="149">
        <f t="shared" si="6"/>
        <v>25</v>
      </c>
      <c r="B26" s="148" t="str">
        <f t="shared" si="9"/>
        <v>April</v>
      </c>
      <c r="C26" s="149">
        <f t="shared" si="9"/>
        <v>4</v>
      </c>
      <c r="D26" s="148">
        <v>45017</v>
      </c>
      <c r="E26" s="126">
        <f t="shared" ref="E26:E39" si="11">YEAR(D26)</f>
        <v>2023</v>
      </c>
      <c r="F26" s="128" t="s">
        <v>437</v>
      </c>
      <c r="G26" s="149">
        <f t="shared" ref="G26:G39" si="12">DAY(EOMONTH(D26,0))</f>
        <v>30</v>
      </c>
      <c r="H26" s="153"/>
      <c r="I26" s="153"/>
      <c r="J26" s="151">
        <f t="shared" si="10"/>
        <v>5.6333333333333329</v>
      </c>
      <c r="K26" s="153"/>
      <c r="L26" s="149"/>
      <c r="M26" s="155">
        <v>11000</v>
      </c>
      <c r="N26" s="155">
        <v>80</v>
      </c>
      <c r="O26" s="127"/>
      <c r="P26" s="154"/>
      <c r="Q26" s="149">
        <f>COUNTIFS('Daily KPI'!$D:$D,D26,'Daily KPI'!$M:$M,"&gt;0")</f>
        <v>0</v>
      </c>
      <c r="R26" s="155"/>
      <c r="S26" s="155"/>
      <c r="T26" s="154">
        <f t="shared" si="0"/>
        <v>366.66666666666669</v>
      </c>
      <c r="U26" s="155">
        <f t="shared" si="1"/>
        <v>0</v>
      </c>
      <c r="V26" s="155">
        <f>SUMIF($F$2:F61,F26,$U$2:U61)</f>
        <v>0</v>
      </c>
      <c r="W26" s="127">
        <f t="shared" si="2"/>
        <v>0.19097222222222224</v>
      </c>
      <c r="X26" s="127" t="str">
        <f t="shared" si="3"/>
        <v/>
      </c>
      <c r="Y26" s="127" t="str">
        <f t="shared" si="4"/>
        <v/>
      </c>
      <c r="Z26" s="154" t="str">
        <f>IFERROR(AVERAGEIF('Daily KPI'!D:D,Table14[[#This Row],[Month]],'Daily KPI'!AB:AB),"")</f>
        <v/>
      </c>
      <c r="AA26" s="150" t="str">
        <f>IFERROR(AVERAGEIF($F$2:F26,F26,$Z$2:Z26),"")</f>
        <v/>
      </c>
      <c r="AB26" s="155"/>
      <c r="AC26" s="154">
        <v>6.4041034581308942</v>
      </c>
      <c r="AD26" s="154">
        <f>AVERAGEIF($F$2:F26,F26,$AC$2:AC26)</f>
        <v>6.4041034581308942</v>
      </c>
      <c r="AE26" s="127">
        <f t="shared" si="5"/>
        <v>0.96029999999999993</v>
      </c>
      <c r="AF26" s="127">
        <v>0.995</v>
      </c>
      <c r="AG26" s="127"/>
      <c r="AH26" s="127">
        <v>0.97</v>
      </c>
      <c r="AI26" s="127">
        <v>0.99</v>
      </c>
      <c r="AJ26" s="127">
        <v>0.95</v>
      </c>
      <c r="AK26" s="127">
        <v>0.05</v>
      </c>
      <c r="AL26" s="127">
        <v>0.05</v>
      </c>
      <c r="AM26" s="175"/>
      <c r="AN26" s="175"/>
    </row>
    <row r="27" spans="1:40">
      <c r="A27" s="149">
        <f t="shared" si="6"/>
        <v>26</v>
      </c>
      <c r="B27" s="148" t="str">
        <f t="shared" si="9"/>
        <v>May</v>
      </c>
      <c r="C27" s="149">
        <f t="shared" si="9"/>
        <v>5</v>
      </c>
      <c r="D27" s="148">
        <v>45047</v>
      </c>
      <c r="E27" s="126">
        <f t="shared" si="11"/>
        <v>2023</v>
      </c>
      <c r="F27" s="128" t="s">
        <v>437</v>
      </c>
      <c r="G27" s="149">
        <f t="shared" si="12"/>
        <v>31</v>
      </c>
      <c r="H27" s="153"/>
      <c r="I27" s="153"/>
      <c r="J27" s="151">
        <f t="shared" si="10"/>
        <v>6.5666666666666664</v>
      </c>
      <c r="K27" s="153"/>
      <c r="L27" s="149"/>
      <c r="M27" s="155">
        <v>19240</v>
      </c>
      <c r="N27" s="155">
        <v>80</v>
      </c>
      <c r="O27" s="127"/>
      <c r="P27" s="154"/>
      <c r="Q27" s="149">
        <f>COUNTIFS('Daily KPI'!$D:$D,D27,'Daily KPI'!$M:$M,"&gt;0")</f>
        <v>0</v>
      </c>
      <c r="R27" s="155"/>
      <c r="S27" s="155"/>
      <c r="T27" s="154">
        <f t="shared" si="0"/>
        <v>620.64516129032256</v>
      </c>
      <c r="U27" s="155">
        <f t="shared" si="1"/>
        <v>0</v>
      </c>
      <c r="V27" s="155">
        <f>SUMIF($F$2:F61,F27,$U$2:U61)</f>
        <v>0</v>
      </c>
      <c r="W27" s="127">
        <f t="shared" si="2"/>
        <v>0.323252688172043</v>
      </c>
      <c r="X27" s="127" t="str">
        <f t="shared" si="3"/>
        <v/>
      </c>
      <c r="Y27" s="127" t="str">
        <f t="shared" si="4"/>
        <v/>
      </c>
      <c r="Z27" s="154" t="str">
        <f>IFERROR(AVERAGEIF('Daily KPI'!D:D,Table14[[#This Row],[Month]],'Daily KPI'!AB:AB),"")</f>
        <v/>
      </c>
      <c r="AA27" s="150" t="str">
        <f>IFERROR(AVERAGEIF($F$2:F27,F27,$Z$2:Z27),"")</f>
        <v/>
      </c>
      <c r="AB27" s="155"/>
      <c r="AC27" s="154">
        <v>5.9681800514432695</v>
      </c>
      <c r="AD27" s="154">
        <f>AVERAGEIF($F$2:F61,F27,$AC$2:AC61)</f>
        <v>7.3184021148899676</v>
      </c>
      <c r="AE27" s="127">
        <f t="shared" si="5"/>
        <v>0.96029999999999993</v>
      </c>
      <c r="AF27" s="127">
        <v>0.995</v>
      </c>
      <c r="AG27" s="127"/>
      <c r="AH27" s="127">
        <v>0.97</v>
      </c>
      <c r="AI27" s="127">
        <v>0.99</v>
      </c>
      <c r="AJ27" s="127">
        <v>0.95</v>
      </c>
      <c r="AK27" s="127">
        <v>0.05</v>
      </c>
      <c r="AL27" s="127">
        <v>0.05</v>
      </c>
      <c r="AM27" s="175"/>
      <c r="AN27" s="175"/>
    </row>
    <row r="28" spans="1:40">
      <c r="A28" s="149">
        <f t="shared" si="6"/>
        <v>27</v>
      </c>
      <c r="B28" s="148" t="str">
        <f t="shared" si="9"/>
        <v>June</v>
      </c>
      <c r="C28" s="149">
        <f t="shared" si="9"/>
        <v>6</v>
      </c>
      <c r="D28" s="148">
        <v>45078</v>
      </c>
      <c r="E28" s="126">
        <f t="shared" si="11"/>
        <v>2023</v>
      </c>
      <c r="F28" s="128" t="s">
        <v>437</v>
      </c>
      <c r="G28" s="149">
        <f t="shared" si="12"/>
        <v>30</v>
      </c>
      <c r="H28" s="153"/>
      <c r="I28" s="153"/>
      <c r="J28" s="151">
        <f t="shared" si="10"/>
        <v>6.5666666666666664</v>
      </c>
      <c r="K28" s="153"/>
      <c r="L28" s="149"/>
      <c r="M28" s="155">
        <v>16180</v>
      </c>
      <c r="N28" s="155">
        <v>80</v>
      </c>
      <c r="O28" s="127"/>
      <c r="P28" s="154"/>
      <c r="Q28" s="149">
        <f>COUNTIFS('Daily KPI'!$D:$D,D28,'Daily KPI'!$M:$M,"&gt;0")</f>
        <v>0</v>
      </c>
      <c r="R28" s="155"/>
      <c r="S28" s="155"/>
      <c r="T28" s="154">
        <f t="shared" si="0"/>
        <v>539.33333333333337</v>
      </c>
      <c r="U28" s="155">
        <f t="shared" si="1"/>
        <v>0</v>
      </c>
      <c r="V28" s="155">
        <f>SUMIF($F$2:F28,F28,$U$2:U28)</f>
        <v>0</v>
      </c>
      <c r="W28" s="127">
        <f t="shared" si="2"/>
        <v>0.28090277777777778</v>
      </c>
      <c r="X28" s="127" t="str">
        <f t="shared" si="3"/>
        <v/>
      </c>
      <c r="Y28" s="127" t="str">
        <f t="shared" si="4"/>
        <v/>
      </c>
      <c r="Z28" s="154" t="str">
        <f>IFERROR(AVERAGEIF('Daily KPI'!D:D,Table14[[#This Row],[Month]],'Daily KPI'!AB:AB),"")</f>
        <v/>
      </c>
      <c r="AA28" s="150" t="str">
        <f>IFERROR(AVERAGEIF($F$2:F28,F28,$Z$2:Z28),"")</f>
        <v/>
      </c>
      <c r="AB28" s="155"/>
      <c r="AC28" s="154">
        <f>AC16</f>
        <v>5.6310997427836513</v>
      </c>
      <c r="AD28" s="154">
        <f>AVERAGEIF($F$2:F28,F28,$AC$2:AC28)</f>
        <v>6.0011277507859377</v>
      </c>
      <c r="AE28" s="127">
        <f t="shared" si="5"/>
        <v>0.96029999999999993</v>
      </c>
      <c r="AF28" s="127">
        <v>0.995</v>
      </c>
      <c r="AG28" s="127"/>
      <c r="AH28" s="127">
        <v>0.97</v>
      </c>
      <c r="AI28" s="127">
        <v>0.99</v>
      </c>
      <c r="AJ28" s="127">
        <v>0.95</v>
      </c>
      <c r="AK28" s="127">
        <v>0.05</v>
      </c>
      <c r="AL28" s="127">
        <v>0.05</v>
      </c>
      <c r="AM28" s="175"/>
      <c r="AN28" s="175"/>
    </row>
    <row r="29" spans="1:40">
      <c r="A29" s="149">
        <f t="shared" si="6"/>
        <v>28</v>
      </c>
      <c r="B29" s="148" t="str">
        <f t="shared" si="9"/>
        <v>July</v>
      </c>
      <c r="C29" s="149">
        <f t="shared" si="9"/>
        <v>7</v>
      </c>
      <c r="D29" s="148">
        <v>45108</v>
      </c>
      <c r="E29" s="126">
        <f t="shared" si="11"/>
        <v>2023</v>
      </c>
      <c r="F29" s="128" t="s">
        <v>437</v>
      </c>
      <c r="G29" s="149">
        <f t="shared" si="12"/>
        <v>31</v>
      </c>
      <c r="H29" s="153"/>
      <c r="I29" s="153"/>
      <c r="J29" s="151">
        <f t="shared" si="10"/>
        <v>7.6000000000000005</v>
      </c>
      <c r="K29" s="153"/>
      <c r="L29" s="149"/>
      <c r="M29" s="155">
        <v>20190</v>
      </c>
      <c r="N29" s="155">
        <v>80</v>
      </c>
      <c r="O29" s="127"/>
      <c r="P29" s="154"/>
      <c r="Q29" s="149">
        <f>COUNTIFS('Daily KPI'!$D:$D,D29,'Daily KPI'!$M:$M,"&gt;0")</f>
        <v>0</v>
      </c>
      <c r="R29" s="155"/>
      <c r="S29" s="155"/>
      <c r="T29" s="154">
        <f t="shared" si="0"/>
        <v>651.29032258064512</v>
      </c>
      <c r="U29" s="155">
        <f t="shared" si="1"/>
        <v>0</v>
      </c>
      <c r="V29" s="155">
        <f>SUMIF($F$2:F29,F29,$U$2:U29)</f>
        <v>0</v>
      </c>
      <c r="W29" s="127">
        <f t="shared" si="2"/>
        <v>0.33921370967741932</v>
      </c>
      <c r="X29" s="127" t="str">
        <f t="shared" si="3"/>
        <v/>
      </c>
      <c r="Y29" s="127" t="str">
        <f t="shared" si="4"/>
        <v/>
      </c>
      <c r="Z29" s="154" t="str">
        <f>IFERROR(AVERAGEIF('Daily KPI'!D:D,Table14[[#This Row],[Month]],'Daily KPI'!AB:AB),"")</f>
        <v/>
      </c>
      <c r="AA29" s="150" t="str">
        <f>IFERROR(AVERAGEIF($F$2:F29,F29,$Z$2:Z29),"")</f>
        <v/>
      </c>
      <c r="AB29" s="155"/>
      <c r="AC29" s="154">
        <f t="shared" ref="AC29:AC38" si="13">AC17</f>
        <v>7.1310648756787653</v>
      </c>
      <c r="AD29" s="154">
        <f>AVERAGEIF($F$2:F29,F29,$AC$2:AC29)</f>
        <v>6.2836120320091453</v>
      </c>
      <c r="AE29" s="127">
        <f t="shared" si="5"/>
        <v>0.96029999999999993</v>
      </c>
      <c r="AF29" s="127">
        <v>0.995</v>
      </c>
      <c r="AG29" s="127"/>
      <c r="AH29" s="127">
        <v>0.97</v>
      </c>
      <c r="AI29" s="127">
        <v>0.99</v>
      </c>
      <c r="AJ29" s="127">
        <v>0.95</v>
      </c>
      <c r="AK29" s="127">
        <v>0.05</v>
      </c>
      <c r="AL29" s="127">
        <v>0.05</v>
      </c>
      <c r="AM29" s="175"/>
      <c r="AN29" s="175"/>
    </row>
    <row r="30" spans="1:40">
      <c r="A30" s="149">
        <f t="shared" si="6"/>
        <v>29</v>
      </c>
      <c r="B30" s="148" t="str">
        <f t="shared" si="9"/>
        <v>August</v>
      </c>
      <c r="C30" s="149">
        <f t="shared" si="9"/>
        <v>8</v>
      </c>
      <c r="D30" s="148">
        <v>45139</v>
      </c>
      <c r="E30" s="126">
        <f t="shared" si="11"/>
        <v>2023</v>
      </c>
      <c r="F30" s="128" t="s">
        <v>437</v>
      </c>
      <c r="G30" s="149">
        <f t="shared" si="12"/>
        <v>31</v>
      </c>
      <c r="H30" s="153"/>
      <c r="I30" s="153"/>
      <c r="J30" s="151">
        <f t="shared" si="10"/>
        <v>6.8666666666666671</v>
      </c>
      <c r="K30" s="153"/>
      <c r="L30" s="149"/>
      <c r="M30" s="155">
        <v>21230</v>
      </c>
      <c r="N30" s="155">
        <v>80</v>
      </c>
      <c r="O30" s="127"/>
      <c r="P30" s="154"/>
      <c r="Q30" s="149">
        <f>COUNTIFS('Daily KPI'!$D:$D,D30,'Daily KPI'!$M:$M,"&gt;0")</f>
        <v>0</v>
      </c>
      <c r="R30" s="155"/>
      <c r="S30" s="155"/>
      <c r="T30" s="154">
        <f t="shared" si="0"/>
        <v>684.83870967741939</v>
      </c>
      <c r="U30" s="155">
        <f t="shared" si="1"/>
        <v>0</v>
      </c>
      <c r="V30" s="155">
        <f>SUMIF($F$2:F30,F30,$U$2:U30)</f>
        <v>0</v>
      </c>
      <c r="W30" s="127">
        <f t="shared" si="2"/>
        <v>0.35668682795698925</v>
      </c>
      <c r="X30" s="127" t="str">
        <f t="shared" si="3"/>
        <v/>
      </c>
      <c r="Y30" s="127" t="str">
        <f t="shared" si="4"/>
        <v/>
      </c>
      <c r="Z30" s="154" t="str">
        <f>IFERROR(AVERAGEIF('Daily KPI'!D:D,Table14[[#This Row],[Month]],'Daily KPI'!AB:AB),"")</f>
        <v/>
      </c>
      <c r="AA30" s="150" t="str">
        <f>IFERROR(AVERAGEIF($F$2:F30,F30,$Z$2:Z30),"")</f>
        <v/>
      </c>
      <c r="AB30" s="155"/>
      <c r="AC30" s="154">
        <f t="shared" si="13"/>
        <v>9.4530328665332952</v>
      </c>
      <c r="AD30" s="154">
        <f>AVERAGEIF($F$2:F30,F30,$AC$2:AC30)</f>
        <v>6.9174961989139749</v>
      </c>
      <c r="AE30" s="127">
        <f t="shared" si="5"/>
        <v>0.96029999999999993</v>
      </c>
      <c r="AF30" s="127">
        <v>0.995</v>
      </c>
      <c r="AG30" s="127"/>
      <c r="AH30" s="127">
        <v>0.97</v>
      </c>
      <c r="AI30" s="127">
        <v>0.99</v>
      </c>
      <c r="AJ30" s="127">
        <v>0.95</v>
      </c>
      <c r="AK30" s="127">
        <v>0.05</v>
      </c>
      <c r="AL30" s="127">
        <v>0.05</v>
      </c>
      <c r="AM30" s="175"/>
      <c r="AN30" s="175"/>
    </row>
    <row r="31" spans="1:40">
      <c r="A31" s="149">
        <f t="shared" si="6"/>
        <v>30</v>
      </c>
      <c r="B31" s="148" t="str">
        <f t="shared" si="9"/>
        <v>September</v>
      </c>
      <c r="C31" s="149">
        <f t="shared" si="9"/>
        <v>9</v>
      </c>
      <c r="D31" s="148">
        <v>45170</v>
      </c>
      <c r="E31" s="126">
        <f t="shared" si="11"/>
        <v>2023</v>
      </c>
      <c r="F31" s="128" t="s">
        <v>437</v>
      </c>
      <c r="G31" s="149">
        <f t="shared" si="12"/>
        <v>30</v>
      </c>
      <c r="H31" s="153"/>
      <c r="I31" s="153"/>
      <c r="J31" s="151">
        <f t="shared" si="10"/>
        <v>5.0333333333333332</v>
      </c>
      <c r="K31" s="153"/>
      <c r="L31" s="149"/>
      <c r="M31" s="155">
        <v>9020</v>
      </c>
      <c r="N31" s="155">
        <v>80</v>
      </c>
      <c r="O31" s="127"/>
      <c r="P31" s="154"/>
      <c r="Q31" s="149">
        <f>COUNTIFS('Daily KPI'!$D:$D,D31,'Daily KPI'!$M:$M,"&gt;0")</f>
        <v>0</v>
      </c>
      <c r="R31" s="155"/>
      <c r="S31" s="155"/>
      <c r="T31" s="154">
        <f t="shared" si="0"/>
        <v>300.66666666666669</v>
      </c>
      <c r="U31" s="155">
        <f t="shared" si="1"/>
        <v>0</v>
      </c>
      <c r="V31" s="155">
        <f>SUMIF($F$2:F31,F31,$U$2:U31)</f>
        <v>0</v>
      </c>
      <c r="W31" s="127">
        <f t="shared" si="2"/>
        <v>0.15659722222222222</v>
      </c>
      <c r="X31" s="127" t="str">
        <f t="shared" si="3"/>
        <v/>
      </c>
      <c r="Y31" s="127" t="str">
        <f t="shared" si="4"/>
        <v/>
      </c>
      <c r="Z31" s="154" t="str">
        <f>IFERROR(AVERAGEIF('Daily KPI'!D:D,Table14[[#This Row],[Month]],'Daily KPI'!AB:AB),"")</f>
        <v/>
      </c>
      <c r="AA31" s="150" t="str">
        <f>IFERROR(AVERAGEIF($F$2:F31,F31,$Z$2:Z31),"")</f>
        <v/>
      </c>
      <c r="AB31" s="155"/>
      <c r="AC31" s="154">
        <f t="shared" si="13"/>
        <v>10.303759359817088</v>
      </c>
      <c r="AD31" s="154">
        <f>AVERAGEIF($F$2:F31,F31,$AC$2:AC31)</f>
        <v>7.4818733923978264</v>
      </c>
      <c r="AE31" s="127">
        <f t="shared" si="5"/>
        <v>0.96029999999999993</v>
      </c>
      <c r="AF31" s="127">
        <v>0.995</v>
      </c>
      <c r="AG31" s="127"/>
      <c r="AH31" s="127">
        <v>0.97</v>
      </c>
      <c r="AI31" s="127">
        <v>0.99</v>
      </c>
      <c r="AJ31" s="127">
        <v>0.95</v>
      </c>
      <c r="AK31" s="127">
        <v>0.05</v>
      </c>
      <c r="AL31" s="127">
        <v>0.05</v>
      </c>
      <c r="AM31" s="175"/>
      <c r="AN31" s="175"/>
    </row>
    <row r="32" spans="1:40">
      <c r="A32" s="149">
        <f t="shared" si="6"/>
        <v>31</v>
      </c>
      <c r="B32" s="148" t="str">
        <f t="shared" si="9"/>
        <v>October</v>
      </c>
      <c r="C32" s="149">
        <f t="shared" si="9"/>
        <v>10</v>
      </c>
      <c r="D32" s="148">
        <v>45200</v>
      </c>
      <c r="E32" s="126">
        <f t="shared" si="11"/>
        <v>2023</v>
      </c>
      <c r="F32" s="128" t="s">
        <v>437</v>
      </c>
      <c r="G32" s="149">
        <f t="shared" si="12"/>
        <v>31</v>
      </c>
      <c r="H32" s="153"/>
      <c r="I32" s="153"/>
      <c r="J32" s="151">
        <f t="shared" si="10"/>
        <v>3.9666666666666668</v>
      </c>
      <c r="K32" s="153"/>
      <c r="L32" s="149"/>
      <c r="M32" s="155">
        <v>6030</v>
      </c>
      <c r="N32" s="155">
        <v>80</v>
      </c>
      <c r="O32" s="127"/>
      <c r="P32" s="154"/>
      <c r="Q32" s="149">
        <f>COUNTIFS('Daily KPI'!$D:$D,D32,'Daily KPI'!$M:$M,"&gt;0")</f>
        <v>0</v>
      </c>
      <c r="R32" s="155"/>
      <c r="S32" s="155"/>
      <c r="T32" s="154">
        <f t="shared" si="0"/>
        <v>194.51612903225808</v>
      </c>
      <c r="U32" s="155">
        <f t="shared" si="1"/>
        <v>0</v>
      </c>
      <c r="V32" s="155">
        <f>SUMIF($F$2:F32,F32,$U$2:U32)</f>
        <v>0</v>
      </c>
      <c r="W32" s="127">
        <f t="shared" si="2"/>
        <v>0.10131048387096775</v>
      </c>
      <c r="X32" s="127" t="str">
        <f t="shared" si="3"/>
        <v/>
      </c>
      <c r="Y32" s="127" t="str">
        <f t="shared" si="4"/>
        <v/>
      </c>
      <c r="Z32" s="154" t="str">
        <f>IFERROR(AVERAGEIF('Daily KPI'!D:D,Table14[[#This Row],[Month]],'Daily KPI'!AB:AB),"")</f>
        <v/>
      </c>
      <c r="AA32" s="150" t="str">
        <f>IFERROR(AVERAGEIF($F$2:F32,F32,$Z$2:Z32),"")</f>
        <v/>
      </c>
      <c r="AB32" s="155"/>
      <c r="AC32" s="154">
        <f t="shared" si="13"/>
        <v>8.5195147184909956</v>
      </c>
      <c r="AD32" s="154">
        <f>AVERAGEIF($F$2:F32,F32,$AC$2:AC32)</f>
        <v>7.6301078675539937</v>
      </c>
      <c r="AE32" s="127">
        <f t="shared" si="5"/>
        <v>0.96029999999999993</v>
      </c>
      <c r="AF32" s="127">
        <v>0.995</v>
      </c>
      <c r="AG32" s="127"/>
      <c r="AH32" s="127">
        <v>0.97</v>
      </c>
      <c r="AI32" s="127">
        <v>0.99</v>
      </c>
      <c r="AJ32" s="127">
        <v>0.95</v>
      </c>
      <c r="AK32" s="127">
        <v>0.05</v>
      </c>
      <c r="AL32" s="127">
        <v>0.05</v>
      </c>
      <c r="AM32" s="175"/>
      <c r="AN32" s="175"/>
    </row>
    <row r="33" spans="1:40">
      <c r="A33" s="149">
        <f t="shared" si="6"/>
        <v>32</v>
      </c>
      <c r="B33" s="148" t="str">
        <f t="shared" si="9"/>
        <v>November</v>
      </c>
      <c r="C33" s="149">
        <f t="shared" si="9"/>
        <v>11</v>
      </c>
      <c r="D33" s="148">
        <v>45231</v>
      </c>
      <c r="E33" s="126">
        <f t="shared" si="11"/>
        <v>2023</v>
      </c>
      <c r="F33" s="128" t="s">
        <v>437</v>
      </c>
      <c r="G33" s="149">
        <f t="shared" si="12"/>
        <v>30</v>
      </c>
      <c r="H33" s="153"/>
      <c r="I33" s="153"/>
      <c r="J33" s="151">
        <f t="shared" si="10"/>
        <v>4.0333333333333332</v>
      </c>
      <c r="K33" s="153"/>
      <c r="L33" s="149"/>
      <c r="M33" s="155">
        <v>5580</v>
      </c>
      <c r="N33" s="155">
        <v>80</v>
      </c>
      <c r="O33" s="127"/>
      <c r="P33" s="154"/>
      <c r="Q33" s="149">
        <f>COUNTIFS('Daily KPI'!$D:$D,D33,'Daily KPI'!$M:$M,"&gt;0")</f>
        <v>0</v>
      </c>
      <c r="R33" s="155"/>
      <c r="S33" s="155"/>
      <c r="T33" s="154">
        <f t="shared" si="0"/>
        <v>186</v>
      </c>
      <c r="U33" s="155">
        <f t="shared" si="1"/>
        <v>0</v>
      </c>
      <c r="V33" s="155">
        <f>SUMIF($F$2:F33,F33,$U$2:U33)</f>
        <v>0</v>
      </c>
      <c r="W33" s="127">
        <f t="shared" si="2"/>
        <v>9.6875000000000003E-2</v>
      </c>
      <c r="X33" s="127" t="str">
        <f t="shared" si="3"/>
        <v/>
      </c>
      <c r="Y33" s="127" t="str">
        <f t="shared" si="4"/>
        <v/>
      </c>
      <c r="Z33" s="154" t="str">
        <f>IFERROR(AVERAGEIF('Daily KPI'!D:D,Table14[[#This Row],[Month]],'Daily KPI'!AB:AB),"")</f>
        <v/>
      </c>
      <c r="AA33" s="150" t="str">
        <f>IFERROR(AVERAGEIF($F$2:F33,F33,$Z$2:Z33),"")</f>
        <v/>
      </c>
      <c r="AB33" s="155"/>
      <c r="AC33" s="154">
        <f t="shared" si="13"/>
        <v>7.2366664761360369</v>
      </c>
      <c r="AD33" s="154">
        <f>AVERAGEIF($F$2:F33,F33,$AC$2:AC33)</f>
        <v>7.5809276936267489</v>
      </c>
      <c r="AE33" s="127">
        <f t="shared" si="5"/>
        <v>0.96029999999999993</v>
      </c>
      <c r="AF33" s="127">
        <v>0.995</v>
      </c>
      <c r="AG33" s="127"/>
      <c r="AH33" s="127">
        <v>0.97</v>
      </c>
      <c r="AI33" s="127">
        <v>0.99</v>
      </c>
      <c r="AJ33" s="127">
        <v>0.95</v>
      </c>
      <c r="AK33" s="127">
        <v>0.05</v>
      </c>
      <c r="AL33" s="127">
        <v>0.05</v>
      </c>
      <c r="AM33" s="175"/>
      <c r="AN33" s="175"/>
    </row>
    <row r="34" spans="1:40">
      <c r="A34" s="149">
        <f t="shared" si="6"/>
        <v>33</v>
      </c>
      <c r="B34" s="148" t="str">
        <f t="shared" si="9"/>
        <v>December</v>
      </c>
      <c r="C34" s="149">
        <f t="shared" si="9"/>
        <v>12</v>
      </c>
      <c r="D34" s="148">
        <v>45261</v>
      </c>
      <c r="E34" s="126">
        <f t="shared" si="11"/>
        <v>2023</v>
      </c>
      <c r="F34" s="128" t="s">
        <v>437</v>
      </c>
      <c r="G34" s="149">
        <f t="shared" si="12"/>
        <v>31</v>
      </c>
      <c r="H34" s="153"/>
      <c r="I34" s="153"/>
      <c r="J34" s="151">
        <f t="shared" si="10"/>
        <v>4.4333333333333336</v>
      </c>
      <c r="K34" s="153"/>
      <c r="L34" s="149"/>
      <c r="M34" s="155">
        <v>6740</v>
      </c>
      <c r="N34" s="155">
        <v>80</v>
      </c>
      <c r="O34" s="127"/>
      <c r="P34" s="154"/>
      <c r="Q34" s="149">
        <f>COUNTIFS('Daily KPI'!$D:$D,D34,'Daily KPI'!$M:$M,"&gt;0")</f>
        <v>0</v>
      </c>
      <c r="R34" s="155"/>
      <c r="S34" s="155"/>
      <c r="T34" s="154">
        <f t="shared" si="0"/>
        <v>217.41935483870967</v>
      </c>
      <c r="U34" s="155">
        <f t="shared" si="1"/>
        <v>0</v>
      </c>
      <c r="V34" s="155">
        <f>SUMIF($F$2:F34,F34,$U$2:U34)</f>
        <v>0</v>
      </c>
      <c r="W34" s="127">
        <f t="shared" ref="W34:W61" si="14">IFERROR(T34/(24*N34),"")</f>
        <v>0.11323924731182795</v>
      </c>
      <c r="X34" s="127" t="str">
        <f t="shared" ref="X34:X61" si="15">IFERROR(U34/(24*N34*Q34),"")</f>
        <v/>
      </c>
      <c r="Y34" s="127" t="str">
        <f t="shared" ref="Y34:Y61" si="16">IFERROR(V34/(24*N34*SUMIFS($Q:$Q,$F:$F,$F34,$D:$D,"&lt;="&amp;D34)),"")</f>
        <v/>
      </c>
      <c r="Z34" s="154" t="str">
        <f>IFERROR(AVERAGEIF('Daily KPI'!D:D,Table14[[#This Row],[Month]],'Daily KPI'!AB:AB),"")</f>
        <v/>
      </c>
      <c r="AA34" s="150" t="str">
        <f>IFERROR(AVERAGEIF($F$2:F34,F34,$Z$2:Z34),"")</f>
        <v/>
      </c>
      <c r="AB34" s="155"/>
      <c r="AC34" s="154">
        <f t="shared" si="13"/>
        <v>6.0015501571877659</v>
      </c>
      <c r="AD34" s="154">
        <f>AVERAGEIF($F$2:F34,F34,$AC$2:AC34)</f>
        <v>7.4054413006890849</v>
      </c>
      <c r="AE34" s="127">
        <f t="shared" ref="AE34:AE61" si="17">IFERROR(AH34*AI34,"")</f>
        <v>0.96029999999999993</v>
      </c>
      <c r="AF34" s="127">
        <v>0.995</v>
      </c>
      <c r="AG34" s="127"/>
      <c r="AH34" s="127">
        <v>0.97</v>
      </c>
      <c r="AI34" s="127">
        <v>0.99</v>
      </c>
      <c r="AJ34" s="127">
        <v>0.95</v>
      </c>
      <c r="AK34" s="127">
        <v>0.05</v>
      </c>
      <c r="AL34" s="127">
        <v>0.05</v>
      </c>
      <c r="AM34" s="175"/>
      <c r="AN34" s="175"/>
    </row>
    <row r="35" spans="1:40">
      <c r="A35" s="149">
        <f t="shared" si="6"/>
        <v>34</v>
      </c>
      <c r="B35" s="148" t="str">
        <f t="shared" si="9"/>
        <v>January</v>
      </c>
      <c r="C35" s="149">
        <f t="shared" si="9"/>
        <v>1</v>
      </c>
      <c r="D35" s="148">
        <v>45292</v>
      </c>
      <c r="E35" s="126">
        <f t="shared" si="11"/>
        <v>2024</v>
      </c>
      <c r="F35" s="128" t="s">
        <v>437</v>
      </c>
      <c r="G35" s="149">
        <f t="shared" si="12"/>
        <v>31</v>
      </c>
      <c r="H35" s="153"/>
      <c r="I35" s="153"/>
      <c r="J35" s="151">
        <f t="shared" si="10"/>
        <v>3.8</v>
      </c>
      <c r="K35" s="153"/>
      <c r="L35" s="149"/>
      <c r="M35" s="155">
        <v>4700</v>
      </c>
      <c r="N35" s="155">
        <v>80</v>
      </c>
      <c r="O35" s="127"/>
      <c r="P35" s="154"/>
      <c r="Q35" s="149">
        <f>COUNTIFS('Daily KPI'!$D:$D,D35,'Daily KPI'!$M:$M,"&gt;0")</f>
        <v>0</v>
      </c>
      <c r="R35" s="155"/>
      <c r="S35" s="155"/>
      <c r="T35" s="154">
        <f t="shared" si="0"/>
        <v>151.61290322580646</v>
      </c>
      <c r="U35" s="155">
        <f t="shared" si="1"/>
        <v>0</v>
      </c>
      <c r="V35" s="155">
        <f>SUMIF($F$2:F35,F35,$U$2:U35)</f>
        <v>0</v>
      </c>
      <c r="W35" s="127">
        <f t="shared" si="14"/>
        <v>7.8965053763440859E-2</v>
      </c>
      <c r="X35" s="127" t="str">
        <f t="shared" si="15"/>
        <v/>
      </c>
      <c r="Y35" s="127" t="str">
        <f t="shared" si="16"/>
        <v/>
      </c>
      <c r="Z35" s="154" t="str">
        <f>IFERROR(AVERAGEIF('Daily KPI'!D:D,Table14[[#This Row],[Month]],'Daily KPI'!AB:AB),"")</f>
        <v/>
      </c>
      <c r="AA35" s="150" t="str">
        <f>IFERROR(AVERAGEIF($F$2:F35,F35,$Z$2:Z35),"")</f>
        <v/>
      </c>
      <c r="AB35" s="155"/>
      <c r="AC35" s="154">
        <f t="shared" si="13"/>
        <v>6.7073912546441834</v>
      </c>
      <c r="AD35" s="154">
        <f>AVERAGEIF($F$2:F35,F35,$AC$2:AC35)</f>
        <v>7.3356362960845942</v>
      </c>
      <c r="AE35" s="127">
        <f t="shared" si="17"/>
        <v>0.96029999999999993</v>
      </c>
      <c r="AF35" s="127">
        <v>0.995</v>
      </c>
      <c r="AG35" s="127"/>
      <c r="AH35" s="127">
        <v>0.97</v>
      </c>
      <c r="AI35" s="127">
        <v>0.99</v>
      </c>
      <c r="AJ35" s="127">
        <v>0.95</v>
      </c>
      <c r="AK35" s="127">
        <v>0.05</v>
      </c>
      <c r="AL35" s="127">
        <v>0.05</v>
      </c>
      <c r="AM35" s="175"/>
      <c r="AN35" s="175"/>
    </row>
    <row r="36" spans="1:40">
      <c r="A36" s="149">
        <f t="shared" si="6"/>
        <v>35</v>
      </c>
      <c r="B36" s="148" t="str">
        <f t="shared" si="9"/>
        <v>February</v>
      </c>
      <c r="C36" s="149">
        <f t="shared" si="9"/>
        <v>2</v>
      </c>
      <c r="D36" s="148">
        <v>45323</v>
      </c>
      <c r="E36" s="126">
        <f t="shared" si="11"/>
        <v>2024</v>
      </c>
      <c r="F36" s="128" t="s">
        <v>437</v>
      </c>
      <c r="G36" s="149">
        <f t="shared" si="12"/>
        <v>29</v>
      </c>
      <c r="H36" s="153"/>
      <c r="I36" s="153"/>
      <c r="J36" s="151">
        <f t="shared" si="10"/>
        <v>4.3</v>
      </c>
      <c r="K36" s="153"/>
      <c r="L36" s="149"/>
      <c r="M36" s="155">
        <v>5360</v>
      </c>
      <c r="N36" s="155">
        <v>80</v>
      </c>
      <c r="O36" s="127"/>
      <c r="P36" s="154"/>
      <c r="Q36" s="149">
        <f>COUNTIFS('Daily KPI'!$D:$D,D36,'Daily KPI'!$M:$M,"&gt;0")</f>
        <v>0</v>
      </c>
      <c r="R36" s="155"/>
      <c r="S36" s="155"/>
      <c r="T36" s="154">
        <f t="shared" si="0"/>
        <v>184.82758620689654</v>
      </c>
      <c r="U36" s="155">
        <f t="shared" si="1"/>
        <v>0</v>
      </c>
      <c r="V36" s="155">
        <f>SUMIF($F$2:F36,F36,$U$2:U36)</f>
        <v>0</v>
      </c>
      <c r="W36" s="127">
        <f t="shared" si="14"/>
        <v>9.6264367816091947E-2</v>
      </c>
      <c r="X36" s="127" t="str">
        <f t="shared" si="15"/>
        <v/>
      </c>
      <c r="Y36" s="127" t="str">
        <f t="shared" si="16"/>
        <v/>
      </c>
      <c r="Z36" s="154" t="str">
        <f>IFERROR(AVERAGEIF('Daily KPI'!D:D,Table14[[#This Row],[Month]],'Daily KPI'!AB:AB),"")</f>
        <v/>
      </c>
      <c r="AA36" s="150" t="str">
        <f>IFERROR(AVERAGEIF($F$2:F36,F36,$Z$2:Z36),"")</f>
        <v/>
      </c>
      <c r="AB36" s="155"/>
      <c r="AC36" s="154">
        <f t="shared" si="13"/>
        <v>7.0533420977422105</v>
      </c>
      <c r="AD36" s="154">
        <f>AVERAGEIF($F$2:F36,F36,$AC$2:AC36)</f>
        <v>7.3099731871443785</v>
      </c>
      <c r="AE36" s="127">
        <f t="shared" si="17"/>
        <v>0.96029999999999993</v>
      </c>
      <c r="AF36" s="127">
        <v>0.995</v>
      </c>
      <c r="AG36" s="127"/>
      <c r="AH36" s="127">
        <v>0.97</v>
      </c>
      <c r="AI36" s="127">
        <v>0.99</v>
      </c>
      <c r="AJ36" s="127">
        <v>0.95</v>
      </c>
      <c r="AK36" s="127">
        <v>0.05</v>
      </c>
      <c r="AL36" s="127">
        <v>0.05</v>
      </c>
      <c r="AM36" s="175"/>
      <c r="AN36" s="175"/>
    </row>
    <row r="37" spans="1:40">
      <c r="A37" s="149">
        <f t="shared" si="6"/>
        <v>36</v>
      </c>
      <c r="B37" s="148" t="str">
        <f t="shared" si="9"/>
        <v>March</v>
      </c>
      <c r="C37" s="149">
        <f t="shared" si="9"/>
        <v>3</v>
      </c>
      <c r="D37" s="148">
        <v>45352</v>
      </c>
      <c r="E37" s="126">
        <f t="shared" si="11"/>
        <v>2024</v>
      </c>
      <c r="F37" s="128" t="s">
        <v>437</v>
      </c>
      <c r="G37" s="149">
        <f t="shared" si="12"/>
        <v>31</v>
      </c>
      <c r="H37" s="153"/>
      <c r="I37" s="153"/>
      <c r="J37" s="151">
        <f t="shared" si="10"/>
        <v>4.5999999999999996</v>
      </c>
      <c r="K37" s="153"/>
      <c r="L37" s="149"/>
      <c r="M37" s="155">
        <v>8109.9999999999991</v>
      </c>
      <c r="N37" s="155">
        <v>80</v>
      </c>
      <c r="O37" s="127"/>
      <c r="P37" s="154"/>
      <c r="Q37" s="149">
        <f>COUNTIFS('Daily KPI'!$D:$D,D37,'Daily KPI'!$M:$M,"&gt;0")</f>
        <v>0</v>
      </c>
      <c r="R37" s="155"/>
      <c r="S37" s="155"/>
      <c r="T37" s="154">
        <f t="shared" si="0"/>
        <v>261.61290322580641</v>
      </c>
      <c r="U37" s="155">
        <f t="shared" si="1"/>
        <v>0</v>
      </c>
      <c r="V37" s="155">
        <f>SUMIF($F$2:F37,F37,$U$2:U37)</f>
        <v>0</v>
      </c>
      <c r="W37" s="127">
        <f t="shared" si="14"/>
        <v>0.1362567204301075</v>
      </c>
      <c r="X37" s="127" t="str">
        <f t="shared" si="15"/>
        <v/>
      </c>
      <c r="Y37" s="127" t="str">
        <f t="shared" si="16"/>
        <v/>
      </c>
      <c r="Z37" s="154" t="str">
        <f>IFERROR(AVERAGEIF('Daily KPI'!D:D,Table14[[#This Row],[Month]],'Daily KPI'!AB:AB),"")</f>
        <v/>
      </c>
      <c r="AA37" s="150" t="str">
        <f>IFERROR(AVERAGEIF($F$2:F37,F37,$Z$2:Z37),"")</f>
        <v/>
      </c>
      <c r="AB37" s="155"/>
      <c r="AC37" s="154">
        <f t="shared" si="13"/>
        <v>7.411120320091455</v>
      </c>
      <c r="AD37" s="154">
        <f>AVERAGEIF($F$2:F37,F37,$AC$2:AC37)</f>
        <v>7.3184021148899676</v>
      </c>
      <c r="AE37" s="127">
        <f t="shared" si="17"/>
        <v>0.96029999999999993</v>
      </c>
      <c r="AF37" s="127">
        <v>0.995</v>
      </c>
      <c r="AG37" s="127"/>
      <c r="AH37" s="127">
        <v>0.97</v>
      </c>
      <c r="AI37" s="127">
        <v>0.99</v>
      </c>
      <c r="AJ37" s="127">
        <v>0.95</v>
      </c>
      <c r="AK37" s="127">
        <v>0.05</v>
      </c>
      <c r="AL37" s="127">
        <v>0.05</v>
      </c>
      <c r="AM37" s="175"/>
      <c r="AN37" s="175"/>
    </row>
    <row r="38" spans="1:40">
      <c r="A38" s="149">
        <f t="shared" si="6"/>
        <v>37</v>
      </c>
      <c r="B38" s="148" t="str">
        <f t="shared" si="9"/>
        <v>April</v>
      </c>
      <c r="C38" s="149">
        <f t="shared" si="9"/>
        <v>4</v>
      </c>
      <c r="D38" s="148">
        <v>45383</v>
      </c>
      <c r="E38" s="126">
        <f t="shared" si="11"/>
        <v>2024</v>
      </c>
      <c r="F38" s="128" t="s">
        <v>438</v>
      </c>
      <c r="G38" s="149">
        <f t="shared" si="12"/>
        <v>30</v>
      </c>
      <c r="H38" s="153"/>
      <c r="I38" s="153"/>
      <c r="J38" s="151">
        <f t="shared" si="10"/>
        <v>5.6333333333333329</v>
      </c>
      <c r="K38" s="153"/>
      <c r="L38" s="149"/>
      <c r="M38" s="155">
        <v>11919.2</v>
      </c>
      <c r="N38" s="155">
        <v>80</v>
      </c>
      <c r="O38" s="127"/>
      <c r="P38" s="154"/>
      <c r="Q38" s="149">
        <f>COUNTIFS('Daily KPI'!$D:$D,D38,'Daily KPI'!$M:$M,"&gt;0")</f>
        <v>0</v>
      </c>
      <c r="R38" s="155"/>
      <c r="S38" s="155"/>
      <c r="T38" s="154">
        <f t="shared" si="0"/>
        <v>397.30666666666667</v>
      </c>
      <c r="U38" s="155">
        <f t="shared" si="1"/>
        <v>0</v>
      </c>
      <c r="V38" s="155">
        <f>SUMIF($F$2:F38,F38,$U$2:U38)</f>
        <v>0</v>
      </c>
      <c r="W38" s="127">
        <f t="shared" si="14"/>
        <v>0.20693055555555556</v>
      </c>
      <c r="X38" s="127" t="str">
        <f t="shared" si="15"/>
        <v/>
      </c>
      <c r="Y38" s="127" t="str">
        <f t="shared" si="16"/>
        <v/>
      </c>
      <c r="Z38" s="154" t="str">
        <f>IFERROR(AVERAGEIF('Daily KPI'!D:D,Table14[[#This Row],[Month]],'Daily KPI'!AB:AB),"")</f>
        <v/>
      </c>
      <c r="AA38" s="150" t="str">
        <f>IFERROR(AVERAGEIF($F$2:F38,F38,$Z$2:Z38),"")</f>
        <v/>
      </c>
      <c r="AB38" s="155"/>
      <c r="AC38" s="154">
        <f t="shared" si="13"/>
        <v>6.4041034581308942</v>
      </c>
      <c r="AD38" s="154">
        <f>AVERAGEIF($F$2:F38,F38,$AC$2:AC38)</f>
        <v>6.4041034581308942</v>
      </c>
      <c r="AE38" s="127">
        <f t="shared" si="17"/>
        <v>0.96029999999999993</v>
      </c>
      <c r="AF38" s="127">
        <v>0.995</v>
      </c>
      <c r="AG38" s="127"/>
      <c r="AH38" s="127">
        <v>0.97</v>
      </c>
      <c r="AI38" s="127">
        <v>0.99</v>
      </c>
      <c r="AJ38" s="127">
        <v>0.95</v>
      </c>
      <c r="AK38" s="127">
        <v>0.05</v>
      </c>
      <c r="AL38" s="127">
        <v>0.05</v>
      </c>
      <c r="AM38" s="175"/>
      <c r="AN38" s="175"/>
    </row>
    <row r="39" spans="1:40">
      <c r="A39" s="149">
        <f t="shared" si="6"/>
        <v>38</v>
      </c>
      <c r="B39" s="148" t="str">
        <f t="shared" si="9"/>
        <v>May</v>
      </c>
      <c r="C39" s="149">
        <f t="shared" si="9"/>
        <v>5</v>
      </c>
      <c r="D39" s="148">
        <v>45413</v>
      </c>
      <c r="E39" s="126">
        <f t="shared" si="11"/>
        <v>2024</v>
      </c>
      <c r="F39" s="128" t="s">
        <v>438</v>
      </c>
      <c r="G39" s="149">
        <f t="shared" si="12"/>
        <v>31</v>
      </c>
      <c r="H39" s="153"/>
      <c r="I39" s="153"/>
      <c r="J39" s="151">
        <f t="shared" si="10"/>
        <v>6.5666666666666664</v>
      </c>
      <c r="K39" s="153"/>
      <c r="L39" s="149"/>
      <c r="M39" s="155">
        <v>20174.900000000001</v>
      </c>
      <c r="N39" s="155">
        <v>80</v>
      </c>
      <c r="O39" s="127"/>
      <c r="P39" s="154"/>
      <c r="Q39" s="149">
        <f>COUNTIFS('Daily KPI'!$D:$D,D39,'Daily KPI'!$M:$M,"&gt;0")</f>
        <v>0</v>
      </c>
      <c r="R39" s="155"/>
      <c r="S39" s="155"/>
      <c r="T39" s="154">
        <f t="shared" si="0"/>
        <v>650.80322580645168</v>
      </c>
      <c r="U39" s="155">
        <f t="shared" si="1"/>
        <v>0</v>
      </c>
      <c r="V39" s="155">
        <f>SUMIF($F$2:F61,F39,$U$2:U61)</f>
        <v>773.27419354838707</v>
      </c>
      <c r="W39" s="127">
        <f t="shared" si="14"/>
        <v>0.33896001344086024</v>
      </c>
      <c r="X39" s="127" t="str">
        <f t="shared" si="15"/>
        <v/>
      </c>
      <c r="Y39" s="127" t="str">
        <f t="shared" si="16"/>
        <v/>
      </c>
      <c r="Z39" s="154" t="str">
        <f>IFERROR(AVERAGEIF('Daily KPI'!D:D,Table14[[#This Row],[Month]],'Daily KPI'!AB:AB),"")</f>
        <v/>
      </c>
      <c r="AA39" s="150" t="str">
        <f>IFERROR(AVERAGEIF($F$2:F39,F39,$Z$2:Z39),"")</f>
        <v/>
      </c>
      <c r="AB39" s="155"/>
      <c r="AC39" s="154">
        <f>AC27</f>
        <v>5.9681800514432695</v>
      </c>
      <c r="AD39" s="154">
        <f>AVERAGEIF($F$2:F61,F39,$AC$2:AC61)</f>
        <v>7.3184021148899676</v>
      </c>
      <c r="AE39" s="127">
        <f t="shared" si="17"/>
        <v>0.96029999999999993</v>
      </c>
      <c r="AF39" s="127">
        <v>0.995</v>
      </c>
      <c r="AG39" s="127"/>
      <c r="AH39" s="127">
        <v>0.97</v>
      </c>
      <c r="AI39" s="127">
        <v>0.99</v>
      </c>
      <c r="AJ39" s="127">
        <v>0.95</v>
      </c>
      <c r="AK39" s="127">
        <v>0.05</v>
      </c>
      <c r="AL39" s="127">
        <v>0.05</v>
      </c>
      <c r="AM39" s="175"/>
      <c r="AN39" s="175"/>
    </row>
    <row r="40" spans="1:40">
      <c r="A40" s="149">
        <f t="shared" si="6"/>
        <v>39</v>
      </c>
      <c r="B40" s="148" t="str">
        <f t="shared" ref="B40:C40" si="18">B28</f>
        <v>June</v>
      </c>
      <c r="C40" s="149">
        <f t="shared" si="18"/>
        <v>6</v>
      </c>
      <c r="D40" s="148">
        <v>45444</v>
      </c>
      <c r="E40" s="126">
        <f t="shared" ref="E40:E61" si="19">YEAR(D40)</f>
        <v>2024</v>
      </c>
      <c r="F40" s="128" t="s">
        <v>438</v>
      </c>
      <c r="G40" s="149">
        <f t="shared" ref="G40:G61" si="20">DAY(EOMONTH(D40,0))</f>
        <v>30</v>
      </c>
      <c r="H40" s="153"/>
      <c r="I40" s="153"/>
      <c r="J40" s="151">
        <f t="shared" si="10"/>
        <v>6.5666666666666664</v>
      </c>
      <c r="K40" s="153"/>
      <c r="L40" s="149"/>
      <c r="M40" s="155">
        <v>17527.099999999999</v>
      </c>
      <c r="N40" s="155">
        <v>80</v>
      </c>
      <c r="O40" s="127"/>
      <c r="P40" s="154"/>
      <c r="Q40" s="149">
        <f>COUNTIFS('Daily KPI'!$D:$D,D40,'Daily KPI'!$M:$M,"&gt;0")</f>
        <v>0</v>
      </c>
      <c r="R40" s="155"/>
      <c r="S40" s="155"/>
      <c r="T40" s="154">
        <f t="shared" ref="T40:T61" si="21">M40/G40</f>
        <v>584.23666666666657</v>
      </c>
      <c r="U40" s="155">
        <f t="shared" ref="U40:U61" si="22">M40/G40*Q40</f>
        <v>0</v>
      </c>
      <c r="V40" s="155">
        <f>SUMIF($F$2:F40,F40,$U$2:U40)</f>
        <v>0</v>
      </c>
      <c r="W40" s="127">
        <f t="shared" si="14"/>
        <v>0.30428993055555548</v>
      </c>
      <c r="X40" s="127" t="str">
        <f t="shared" si="15"/>
        <v/>
      </c>
      <c r="Y40" s="127" t="str">
        <f t="shared" si="16"/>
        <v/>
      </c>
      <c r="Z40" s="154" t="str">
        <f>IFERROR(AVERAGEIF('Daily KPI'!D:D,Table14[[#This Row],[Month]],'Daily KPI'!AB:AB),"")</f>
        <v/>
      </c>
      <c r="AA40" s="150" t="str">
        <f>IFERROR(AVERAGEIF($F$2:F40,F40,$Z$2:Z40),"")</f>
        <v/>
      </c>
      <c r="AB40" s="155"/>
      <c r="AC40" s="154">
        <f t="shared" ref="AC40:AC61" si="23">AC28</f>
        <v>5.6310997427836513</v>
      </c>
      <c r="AD40" s="154">
        <f>AVERAGEIF($F$2:F40,F40,$AC$2:AC40)</f>
        <v>6.0011277507859377</v>
      </c>
      <c r="AE40" s="127">
        <f t="shared" si="17"/>
        <v>0.96029999999999993</v>
      </c>
      <c r="AF40" s="127">
        <v>0.995</v>
      </c>
      <c r="AG40" s="127"/>
      <c r="AH40" s="127">
        <v>0.97</v>
      </c>
      <c r="AI40" s="127">
        <v>0.99</v>
      </c>
      <c r="AJ40" s="127">
        <v>0.95</v>
      </c>
      <c r="AK40" s="127">
        <v>0.05</v>
      </c>
      <c r="AL40" s="127">
        <v>0.05</v>
      </c>
      <c r="AM40" s="175"/>
      <c r="AN40" s="175"/>
    </row>
    <row r="41" spans="1:40">
      <c r="A41" s="149">
        <f t="shared" si="6"/>
        <v>40</v>
      </c>
      <c r="B41" s="148" t="str">
        <f t="shared" ref="B41:C41" si="24">B29</f>
        <v>July</v>
      </c>
      <c r="C41" s="149">
        <f t="shared" si="24"/>
        <v>7</v>
      </c>
      <c r="D41" s="148">
        <v>45474</v>
      </c>
      <c r="E41" s="126">
        <f t="shared" si="19"/>
        <v>2024</v>
      </c>
      <c r="F41" s="128" t="s">
        <v>438</v>
      </c>
      <c r="G41" s="149">
        <f t="shared" si="20"/>
        <v>31</v>
      </c>
      <c r="H41" s="153"/>
      <c r="I41" s="153"/>
      <c r="J41" s="151">
        <f t="shared" si="10"/>
        <v>7.6000000000000005</v>
      </c>
      <c r="K41" s="153"/>
      <c r="L41" s="149"/>
      <c r="M41" s="155">
        <v>21165.200000000001</v>
      </c>
      <c r="N41" s="155">
        <v>80</v>
      </c>
      <c r="O41" s="127"/>
      <c r="P41" s="154"/>
      <c r="Q41" s="149">
        <f>COUNTIFS('Daily KPI'!$D:$D,D41,'Daily KPI'!$M:$M,"&gt;0")</f>
        <v>0</v>
      </c>
      <c r="R41" s="155"/>
      <c r="S41" s="155"/>
      <c r="T41" s="154">
        <f t="shared" si="21"/>
        <v>682.7483870967742</v>
      </c>
      <c r="U41" s="155">
        <f t="shared" si="22"/>
        <v>0</v>
      </c>
      <c r="V41" s="155">
        <f>SUMIF($F$2:F41,F41,$U$2:U41)</f>
        <v>0</v>
      </c>
      <c r="W41" s="127">
        <f t="shared" si="14"/>
        <v>0.35559811827956989</v>
      </c>
      <c r="X41" s="127" t="str">
        <f t="shared" si="15"/>
        <v/>
      </c>
      <c r="Y41" s="127" t="str">
        <f t="shared" si="16"/>
        <v/>
      </c>
      <c r="Z41" s="154" t="str">
        <f>IFERROR(AVERAGEIF('Daily KPI'!D:D,Table14[[#This Row],[Month]],'Daily KPI'!AB:AB),"")</f>
        <v/>
      </c>
      <c r="AA41" s="150" t="str">
        <f>IFERROR(AVERAGEIF($F$2:F41,F41,$Z$2:Z41),"")</f>
        <v/>
      </c>
      <c r="AB41" s="155"/>
      <c r="AC41" s="154">
        <f t="shared" si="23"/>
        <v>7.1310648756787653</v>
      </c>
      <c r="AD41" s="154">
        <f>AVERAGEIF($F$2:F41,F41,$AC$2:AC41)</f>
        <v>6.2836120320091453</v>
      </c>
      <c r="AE41" s="127">
        <f t="shared" si="17"/>
        <v>0.96029999999999993</v>
      </c>
      <c r="AF41" s="127">
        <v>0.995</v>
      </c>
      <c r="AG41" s="127"/>
      <c r="AH41" s="127">
        <v>0.97</v>
      </c>
      <c r="AI41" s="127">
        <v>0.99</v>
      </c>
      <c r="AJ41" s="127">
        <v>0.95</v>
      </c>
      <c r="AK41" s="127">
        <v>0.05</v>
      </c>
      <c r="AL41" s="127">
        <v>0.05</v>
      </c>
      <c r="AM41" s="175"/>
      <c r="AN41" s="175"/>
    </row>
    <row r="42" spans="1:40">
      <c r="A42" s="149">
        <f t="shared" si="6"/>
        <v>41</v>
      </c>
      <c r="B42" s="148" t="str">
        <f t="shared" ref="B42:C42" si="25">B30</f>
        <v>August</v>
      </c>
      <c r="C42" s="149">
        <f t="shared" si="25"/>
        <v>8</v>
      </c>
      <c r="D42" s="148">
        <v>45505</v>
      </c>
      <c r="E42" s="126">
        <f t="shared" si="19"/>
        <v>2024</v>
      </c>
      <c r="F42" s="128" t="s">
        <v>438</v>
      </c>
      <c r="G42" s="149">
        <f t="shared" si="20"/>
        <v>31</v>
      </c>
      <c r="H42" s="153"/>
      <c r="I42" s="153"/>
      <c r="J42" s="151">
        <f t="shared" si="10"/>
        <v>6.8666666666666671</v>
      </c>
      <c r="K42" s="153"/>
      <c r="L42" s="149"/>
      <c r="M42" s="155">
        <v>22256.9</v>
      </c>
      <c r="N42" s="155">
        <v>80</v>
      </c>
      <c r="O42" s="127"/>
      <c r="P42" s="154"/>
      <c r="Q42" s="149">
        <f>COUNTIFS('Daily KPI'!$D:$D,D42,'Daily KPI'!$M:$M,"&gt;0")</f>
        <v>0</v>
      </c>
      <c r="R42" s="155"/>
      <c r="S42" s="155"/>
      <c r="T42" s="154">
        <f t="shared" si="21"/>
        <v>717.96451612903229</v>
      </c>
      <c r="U42" s="155">
        <f t="shared" si="22"/>
        <v>0</v>
      </c>
      <c r="V42" s="155">
        <f>SUMIF($F$2:F42,F42,$U$2:U42)</f>
        <v>0</v>
      </c>
      <c r="W42" s="127">
        <f t="shared" si="14"/>
        <v>0.37393985215053765</v>
      </c>
      <c r="X42" s="127" t="str">
        <f t="shared" si="15"/>
        <v/>
      </c>
      <c r="Y42" s="127" t="str">
        <f t="shared" si="16"/>
        <v/>
      </c>
      <c r="Z42" s="154" t="str">
        <f>IFERROR(AVERAGEIF('Daily KPI'!D:D,Table14[[#This Row],[Month]],'Daily KPI'!AB:AB),"")</f>
        <v/>
      </c>
      <c r="AA42" s="150" t="str">
        <f>IFERROR(AVERAGEIF($F$2:F42,F42,$Z$2:Z42),"")</f>
        <v/>
      </c>
      <c r="AB42" s="155"/>
      <c r="AC42" s="154">
        <f t="shared" si="23"/>
        <v>9.4530328665332952</v>
      </c>
      <c r="AD42" s="154">
        <f>AVERAGEIF($F$2:F42,F42,$AC$2:AC42)</f>
        <v>6.9174961989139749</v>
      </c>
      <c r="AE42" s="127">
        <f t="shared" si="17"/>
        <v>0.96029999999999993</v>
      </c>
      <c r="AF42" s="127">
        <v>0.995</v>
      </c>
      <c r="AG42" s="127"/>
      <c r="AH42" s="127">
        <v>0.97</v>
      </c>
      <c r="AI42" s="127">
        <v>0.99</v>
      </c>
      <c r="AJ42" s="127">
        <v>0.95</v>
      </c>
      <c r="AK42" s="127">
        <v>0.05</v>
      </c>
      <c r="AL42" s="127">
        <v>0.05</v>
      </c>
      <c r="AM42" s="175"/>
      <c r="AN42" s="175"/>
    </row>
    <row r="43" spans="1:40">
      <c r="A43" s="149">
        <f t="shared" si="6"/>
        <v>42</v>
      </c>
      <c r="B43" s="148" t="str">
        <f t="shared" ref="B43:C43" si="26">B31</f>
        <v>September</v>
      </c>
      <c r="C43" s="149">
        <f t="shared" si="26"/>
        <v>9</v>
      </c>
      <c r="D43" s="148">
        <v>45536</v>
      </c>
      <c r="E43" s="126">
        <f t="shared" si="19"/>
        <v>2024</v>
      </c>
      <c r="F43" s="128" t="s">
        <v>438</v>
      </c>
      <c r="G43" s="149">
        <f t="shared" si="20"/>
        <v>30</v>
      </c>
      <c r="H43" s="153"/>
      <c r="I43" s="153"/>
      <c r="J43" s="151">
        <f t="shared" si="10"/>
        <v>5.0333333333333332</v>
      </c>
      <c r="K43" s="153"/>
      <c r="L43" s="149"/>
      <c r="M43" s="155">
        <v>9773.7999999999993</v>
      </c>
      <c r="N43" s="155">
        <v>80</v>
      </c>
      <c r="O43" s="127"/>
      <c r="P43" s="154"/>
      <c r="Q43" s="149">
        <f>COUNTIFS('Daily KPI'!$D:$D,D43,'Daily KPI'!$M:$M,"&gt;0")</f>
        <v>0</v>
      </c>
      <c r="R43" s="155"/>
      <c r="S43" s="155"/>
      <c r="T43" s="154">
        <f t="shared" si="21"/>
        <v>325.79333333333329</v>
      </c>
      <c r="U43" s="155">
        <f t="shared" si="22"/>
        <v>0</v>
      </c>
      <c r="V43" s="155">
        <f>SUMIF($F$2:F43,F43,$U$2:U43)</f>
        <v>0</v>
      </c>
      <c r="W43" s="127">
        <f t="shared" si="14"/>
        <v>0.16968402777777775</v>
      </c>
      <c r="X43" s="127" t="str">
        <f t="shared" si="15"/>
        <v/>
      </c>
      <c r="Y43" s="127" t="str">
        <f t="shared" si="16"/>
        <v/>
      </c>
      <c r="Z43" s="154" t="str">
        <f>IFERROR(AVERAGEIF('Daily KPI'!D:D,Table14[[#This Row],[Month]],'Daily KPI'!AB:AB),"")</f>
        <v/>
      </c>
      <c r="AA43" s="150" t="str">
        <f>IFERROR(AVERAGEIF($F$2:F43,F43,$Z$2:Z43),"")</f>
        <v/>
      </c>
      <c r="AB43" s="155"/>
      <c r="AC43" s="154">
        <f t="shared" si="23"/>
        <v>10.303759359817088</v>
      </c>
      <c r="AD43" s="154">
        <f>AVERAGEIF($F$2:F43,F43,$AC$2:AC43)</f>
        <v>7.4818733923978264</v>
      </c>
      <c r="AE43" s="127">
        <f t="shared" si="17"/>
        <v>0.96029999999999993</v>
      </c>
      <c r="AF43" s="127">
        <v>0.995</v>
      </c>
      <c r="AG43" s="127"/>
      <c r="AH43" s="127">
        <v>0.97</v>
      </c>
      <c r="AI43" s="127">
        <v>0.99</v>
      </c>
      <c r="AJ43" s="127">
        <v>0.95</v>
      </c>
      <c r="AK43" s="127">
        <v>0.05</v>
      </c>
      <c r="AL43" s="127">
        <v>0.05</v>
      </c>
      <c r="AM43" s="175"/>
      <c r="AN43" s="175"/>
    </row>
    <row r="44" spans="1:40">
      <c r="A44" s="149">
        <f t="shared" si="6"/>
        <v>43</v>
      </c>
      <c r="B44" s="148" t="str">
        <f t="shared" ref="B44:C44" si="27">B32</f>
        <v>October</v>
      </c>
      <c r="C44" s="149">
        <f t="shared" si="27"/>
        <v>10</v>
      </c>
      <c r="D44" s="148">
        <v>45566</v>
      </c>
      <c r="E44" s="126">
        <f t="shared" si="19"/>
        <v>2024</v>
      </c>
      <c r="F44" s="128" t="s">
        <v>438</v>
      </c>
      <c r="G44" s="149">
        <f t="shared" si="20"/>
        <v>31</v>
      </c>
      <c r="H44" s="153"/>
      <c r="I44" s="153"/>
      <c r="J44" s="151">
        <f t="shared" si="10"/>
        <v>3.9666666666666668</v>
      </c>
      <c r="K44" s="153"/>
      <c r="L44" s="149"/>
      <c r="M44" s="155">
        <v>5947</v>
      </c>
      <c r="N44" s="155">
        <v>80</v>
      </c>
      <c r="O44" s="127"/>
      <c r="P44" s="154"/>
      <c r="Q44" s="149">
        <f>COUNTIFS('Daily KPI'!$D:$D,D44,'Daily KPI'!$M:$M,"&gt;0")</f>
        <v>0</v>
      </c>
      <c r="R44" s="155"/>
      <c r="S44" s="155"/>
      <c r="T44" s="154">
        <f t="shared" si="21"/>
        <v>191.83870967741936</v>
      </c>
      <c r="U44" s="155">
        <f t="shared" si="22"/>
        <v>0</v>
      </c>
      <c r="V44" s="155">
        <f>SUMIF($F$2:F44,F44,$U$2:U44)</f>
        <v>0</v>
      </c>
      <c r="W44" s="127">
        <f t="shared" si="14"/>
        <v>9.9915994623655913E-2</v>
      </c>
      <c r="X44" s="127" t="str">
        <f t="shared" si="15"/>
        <v/>
      </c>
      <c r="Y44" s="127" t="str">
        <f t="shared" si="16"/>
        <v/>
      </c>
      <c r="Z44" s="154" t="str">
        <f>IFERROR(AVERAGEIF('Daily KPI'!D:D,Table14[[#This Row],[Month]],'Daily KPI'!AB:AB),"")</f>
        <v/>
      </c>
      <c r="AA44" s="150" t="str">
        <f>IFERROR(AVERAGEIF($F$2:F44,F44,$Z$2:Z44),"")</f>
        <v/>
      </c>
      <c r="AB44" s="155"/>
      <c r="AC44" s="154">
        <f t="shared" si="23"/>
        <v>8.5195147184909956</v>
      </c>
      <c r="AD44" s="154">
        <f>AVERAGEIF($F$2:F44,F44,$AC$2:AC44)</f>
        <v>7.6301078675539937</v>
      </c>
      <c r="AE44" s="127">
        <f t="shared" si="17"/>
        <v>0.96029999999999993</v>
      </c>
      <c r="AF44" s="127">
        <v>0.995</v>
      </c>
      <c r="AG44" s="127"/>
      <c r="AH44" s="127">
        <v>0.97</v>
      </c>
      <c r="AI44" s="127">
        <v>0.99</v>
      </c>
      <c r="AJ44" s="127">
        <v>0.95</v>
      </c>
      <c r="AK44" s="127">
        <v>0.05</v>
      </c>
      <c r="AL44" s="127">
        <v>0.05</v>
      </c>
      <c r="AM44" s="175"/>
      <c r="AN44" s="175"/>
    </row>
    <row r="45" spans="1:40">
      <c r="A45" s="149">
        <f t="shared" si="6"/>
        <v>44</v>
      </c>
      <c r="B45" s="148" t="str">
        <f t="shared" ref="B45:C45" si="28">B33</f>
        <v>November</v>
      </c>
      <c r="C45" s="149">
        <f t="shared" si="28"/>
        <v>11</v>
      </c>
      <c r="D45" s="148">
        <v>45597</v>
      </c>
      <c r="E45" s="126">
        <f t="shared" si="19"/>
        <v>2024</v>
      </c>
      <c r="F45" s="128" t="s">
        <v>438</v>
      </c>
      <c r="G45" s="149">
        <f t="shared" si="20"/>
        <v>30</v>
      </c>
      <c r="H45" s="153"/>
      <c r="I45" s="153"/>
      <c r="J45" s="151">
        <f t="shared" si="10"/>
        <v>4.0333333333333332</v>
      </c>
      <c r="K45" s="153"/>
      <c r="L45" s="149"/>
      <c r="M45" s="155">
        <v>5683.6</v>
      </c>
      <c r="N45" s="155">
        <v>80</v>
      </c>
      <c r="O45" s="127"/>
      <c r="P45" s="154"/>
      <c r="Q45" s="149">
        <f>COUNTIFS('Daily KPI'!$D:$D,D45,'Daily KPI'!$M:$M,"&gt;0")</f>
        <v>0</v>
      </c>
      <c r="R45" s="155"/>
      <c r="S45" s="155"/>
      <c r="T45" s="154">
        <f t="shared" si="21"/>
        <v>189.45333333333335</v>
      </c>
      <c r="U45" s="155">
        <f t="shared" si="22"/>
        <v>0</v>
      </c>
      <c r="V45" s="155">
        <f>SUMIF($F$2:F45,F45,$U$2:U45)</f>
        <v>0</v>
      </c>
      <c r="W45" s="127">
        <f t="shared" si="14"/>
        <v>9.8673611111111115E-2</v>
      </c>
      <c r="X45" s="127" t="str">
        <f t="shared" si="15"/>
        <v/>
      </c>
      <c r="Y45" s="127" t="str">
        <f t="shared" si="16"/>
        <v/>
      </c>
      <c r="Z45" s="154" t="str">
        <f>IFERROR(AVERAGEIF('Daily KPI'!D:D,Table14[[#This Row],[Month]],'Daily KPI'!AB:AB),"")</f>
        <v/>
      </c>
      <c r="AA45" s="150" t="str">
        <f>IFERROR(AVERAGEIF($F$2:F45,F45,$Z$2:Z45),"")</f>
        <v/>
      </c>
      <c r="AB45" s="155"/>
      <c r="AC45" s="154">
        <f t="shared" si="23"/>
        <v>7.2366664761360369</v>
      </c>
      <c r="AD45" s="154">
        <f>AVERAGEIF($F$2:F45,F45,$AC$2:AC45)</f>
        <v>7.5809276936267489</v>
      </c>
      <c r="AE45" s="127">
        <f t="shared" si="17"/>
        <v>0.96029999999999993</v>
      </c>
      <c r="AF45" s="127">
        <v>0.995</v>
      </c>
      <c r="AG45" s="127"/>
      <c r="AH45" s="127">
        <v>0.97</v>
      </c>
      <c r="AI45" s="127">
        <v>0.99</v>
      </c>
      <c r="AJ45" s="127">
        <v>0.95</v>
      </c>
      <c r="AK45" s="127">
        <v>0.05</v>
      </c>
      <c r="AL45" s="127">
        <v>0.05</v>
      </c>
      <c r="AM45" s="175"/>
      <c r="AN45" s="175"/>
    </row>
    <row r="46" spans="1:40">
      <c r="A46" s="149">
        <f t="shared" si="6"/>
        <v>45</v>
      </c>
      <c r="B46" s="148" t="str">
        <f t="shared" ref="B46:C46" si="29">B34</f>
        <v>December</v>
      </c>
      <c r="C46" s="149">
        <f t="shared" si="29"/>
        <v>12</v>
      </c>
      <c r="D46" s="148">
        <v>45627</v>
      </c>
      <c r="E46" s="126">
        <f t="shared" si="19"/>
        <v>2024</v>
      </c>
      <c r="F46" s="128" t="s">
        <v>438</v>
      </c>
      <c r="G46" s="149">
        <f t="shared" si="20"/>
        <v>31</v>
      </c>
      <c r="H46" s="153"/>
      <c r="I46" s="153"/>
      <c r="J46" s="151">
        <f t="shared" si="10"/>
        <v>4.4333333333333336</v>
      </c>
      <c r="K46" s="153"/>
      <c r="L46" s="149"/>
      <c r="M46" s="155">
        <v>6645.2</v>
      </c>
      <c r="N46" s="155">
        <v>80</v>
      </c>
      <c r="O46" s="127"/>
      <c r="P46" s="154"/>
      <c r="Q46" s="149">
        <f>COUNTIFS('Daily KPI'!$D:$D,D46,'Daily KPI'!$M:$M,"&gt;0")</f>
        <v>0</v>
      </c>
      <c r="R46" s="155"/>
      <c r="S46" s="155"/>
      <c r="T46" s="154">
        <f t="shared" si="21"/>
        <v>214.36129032258063</v>
      </c>
      <c r="U46" s="155">
        <f t="shared" si="22"/>
        <v>0</v>
      </c>
      <c r="V46" s="155">
        <f>SUMIF($F$2:F46,F46,$U$2:U46)</f>
        <v>0</v>
      </c>
      <c r="W46" s="127">
        <f t="shared" si="14"/>
        <v>0.11164650537634407</v>
      </c>
      <c r="X46" s="127" t="str">
        <f t="shared" si="15"/>
        <v/>
      </c>
      <c r="Y46" s="127" t="str">
        <f t="shared" si="16"/>
        <v/>
      </c>
      <c r="Z46" s="154" t="str">
        <f>IFERROR(AVERAGEIF('Daily KPI'!D:D,Table14[[#This Row],[Month]],'Daily KPI'!AB:AB),"")</f>
        <v/>
      </c>
      <c r="AA46" s="150" t="str">
        <f>IFERROR(AVERAGEIF($F$2:F46,F46,$Z$2:Z46),"")</f>
        <v/>
      </c>
      <c r="AB46" s="155"/>
      <c r="AC46" s="154">
        <f t="shared" si="23"/>
        <v>6.0015501571877659</v>
      </c>
      <c r="AD46" s="154">
        <f>AVERAGEIF($F$2:F46,F46,$AC$2:AC46)</f>
        <v>7.4054413006890849</v>
      </c>
      <c r="AE46" s="127">
        <f t="shared" si="17"/>
        <v>0.96029999999999993</v>
      </c>
      <c r="AF46" s="127">
        <v>0.995</v>
      </c>
      <c r="AG46" s="127"/>
      <c r="AH46" s="127">
        <v>0.97</v>
      </c>
      <c r="AI46" s="127">
        <v>0.99</v>
      </c>
      <c r="AJ46" s="127">
        <v>0.95</v>
      </c>
      <c r="AK46" s="127">
        <v>0.05</v>
      </c>
      <c r="AL46" s="127">
        <v>0.05</v>
      </c>
      <c r="AM46" s="175"/>
      <c r="AN46" s="175"/>
    </row>
    <row r="47" spans="1:40">
      <c r="A47" s="149">
        <f t="shared" si="6"/>
        <v>46</v>
      </c>
      <c r="B47" s="148" t="str">
        <f t="shared" ref="B47:C47" si="30">B35</f>
        <v>January</v>
      </c>
      <c r="C47" s="149">
        <f t="shared" si="30"/>
        <v>1</v>
      </c>
      <c r="D47" s="148">
        <v>45658</v>
      </c>
      <c r="E47" s="126">
        <f t="shared" si="19"/>
        <v>2025</v>
      </c>
      <c r="F47" s="128" t="s">
        <v>438</v>
      </c>
      <c r="G47" s="149">
        <f t="shared" si="20"/>
        <v>31</v>
      </c>
      <c r="H47" s="153"/>
      <c r="I47" s="153"/>
      <c r="J47" s="151">
        <f t="shared" si="10"/>
        <v>3.8</v>
      </c>
      <c r="K47" s="153"/>
      <c r="L47" s="149"/>
      <c r="M47" s="155">
        <v>4628.1000000000004</v>
      </c>
      <c r="N47" s="155">
        <v>80</v>
      </c>
      <c r="O47" s="127"/>
      <c r="P47" s="154"/>
      <c r="Q47" s="149">
        <f>COUNTIFS('Daily KPI'!$D:$D,D47,'Daily KPI'!$M:$M,"&gt;0")</f>
        <v>0</v>
      </c>
      <c r="R47" s="155"/>
      <c r="S47" s="155"/>
      <c r="T47" s="154">
        <f t="shared" si="21"/>
        <v>149.29354838709679</v>
      </c>
      <c r="U47" s="155">
        <f t="shared" si="22"/>
        <v>0</v>
      </c>
      <c r="V47" s="155">
        <f>SUMIF($F$2:F47,F47,$U$2:U47)</f>
        <v>0</v>
      </c>
      <c r="W47" s="127">
        <f t="shared" si="14"/>
        <v>7.7757056451612919E-2</v>
      </c>
      <c r="X47" s="127" t="str">
        <f t="shared" si="15"/>
        <v/>
      </c>
      <c r="Y47" s="127" t="str">
        <f t="shared" si="16"/>
        <v/>
      </c>
      <c r="Z47" s="154" t="str">
        <f>IFERROR(AVERAGEIF('Daily KPI'!D:D,Table14[[#This Row],[Month]],'Daily KPI'!AB:AB),"")</f>
        <v/>
      </c>
      <c r="AA47" s="150" t="str">
        <f>IFERROR(AVERAGEIF($F$2:F47,F47,$Z$2:Z47),"")</f>
        <v/>
      </c>
      <c r="AB47" s="155"/>
      <c r="AC47" s="154">
        <f t="shared" si="23"/>
        <v>6.7073912546441834</v>
      </c>
      <c r="AD47" s="154">
        <f>AVERAGEIF($F$2:F47,F47,$AC$2:AC47)</f>
        <v>7.3356362960845942</v>
      </c>
      <c r="AE47" s="127">
        <f t="shared" si="17"/>
        <v>0.96029999999999993</v>
      </c>
      <c r="AF47" s="127">
        <v>0.995</v>
      </c>
      <c r="AG47" s="127"/>
      <c r="AH47" s="127">
        <v>0.97</v>
      </c>
      <c r="AI47" s="127">
        <v>0.99</v>
      </c>
      <c r="AJ47" s="127">
        <v>0.95</v>
      </c>
      <c r="AK47" s="127">
        <v>0.05</v>
      </c>
      <c r="AL47" s="127">
        <v>0.05</v>
      </c>
      <c r="AM47" s="175"/>
      <c r="AN47" s="175"/>
    </row>
    <row r="48" spans="1:40">
      <c r="A48" s="149">
        <f t="shared" si="6"/>
        <v>47</v>
      </c>
      <c r="B48" s="148" t="str">
        <f t="shared" ref="B48:C48" si="31">B36</f>
        <v>February</v>
      </c>
      <c r="C48" s="149">
        <f t="shared" si="31"/>
        <v>2</v>
      </c>
      <c r="D48" s="148">
        <v>45689</v>
      </c>
      <c r="E48" s="126">
        <f t="shared" si="19"/>
        <v>2025</v>
      </c>
      <c r="F48" s="128" t="s">
        <v>438</v>
      </c>
      <c r="G48" s="149">
        <f t="shared" si="20"/>
        <v>28</v>
      </c>
      <c r="H48" s="153"/>
      <c r="I48" s="153"/>
      <c r="J48" s="151">
        <f t="shared" si="10"/>
        <v>4.3</v>
      </c>
      <c r="K48" s="153"/>
      <c r="L48" s="149"/>
      <c r="M48" s="155">
        <v>5610.2</v>
      </c>
      <c r="N48" s="155">
        <v>80</v>
      </c>
      <c r="O48" s="127"/>
      <c r="P48" s="154"/>
      <c r="Q48" s="149">
        <f>COUNTIFS('Daily KPI'!$D:$D,D48,'Daily KPI'!$M:$M,"&gt;0")</f>
        <v>0</v>
      </c>
      <c r="R48" s="155"/>
      <c r="S48" s="155"/>
      <c r="T48" s="154">
        <f t="shared" si="21"/>
        <v>200.3642857142857</v>
      </c>
      <c r="U48" s="155">
        <f t="shared" si="22"/>
        <v>0</v>
      </c>
      <c r="V48" s="155">
        <f>SUMIF($F$2:F48,F48,$U$2:U48)</f>
        <v>0</v>
      </c>
      <c r="W48" s="127">
        <f t="shared" si="14"/>
        <v>0.1043563988095238</v>
      </c>
      <c r="X48" s="127" t="str">
        <f t="shared" si="15"/>
        <v/>
      </c>
      <c r="Y48" s="127" t="str">
        <f t="shared" si="16"/>
        <v/>
      </c>
      <c r="Z48" s="154" t="str">
        <f>IFERROR(AVERAGEIF('Daily KPI'!D:D,Table14[[#This Row],[Month]],'Daily KPI'!AB:AB),"")</f>
        <v/>
      </c>
      <c r="AA48" s="150" t="str">
        <f>IFERROR(AVERAGEIF($F$2:F48,F48,$Z$2:Z48),"")</f>
        <v/>
      </c>
      <c r="AB48" s="155"/>
      <c r="AC48" s="154">
        <f t="shared" si="23"/>
        <v>7.0533420977422105</v>
      </c>
      <c r="AD48" s="154">
        <f>AVERAGEIF($F$2:F48,F48,$AC$2:AC48)</f>
        <v>7.3099731871443785</v>
      </c>
      <c r="AE48" s="127">
        <f t="shared" si="17"/>
        <v>0.96029999999999993</v>
      </c>
      <c r="AF48" s="127">
        <v>0.995</v>
      </c>
      <c r="AG48" s="127"/>
      <c r="AH48" s="127">
        <v>0.97</v>
      </c>
      <c r="AI48" s="127">
        <v>0.99</v>
      </c>
      <c r="AJ48" s="127">
        <v>0.95</v>
      </c>
      <c r="AK48" s="127">
        <v>0.05</v>
      </c>
      <c r="AL48" s="127">
        <v>0.05</v>
      </c>
      <c r="AM48" s="175"/>
      <c r="AN48" s="175"/>
    </row>
    <row r="49" spans="1:40">
      <c r="A49" s="149">
        <f t="shared" si="6"/>
        <v>48</v>
      </c>
      <c r="B49" s="148" t="str">
        <f t="shared" ref="B49:C49" si="32">B37</f>
        <v>March</v>
      </c>
      <c r="C49" s="149">
        <f t="shared" si="32"/>
        <v>3</v>
      </c>
      <c r="D49" s="148">
        <v>45717</v>
      </c>
      <c r="E49" s="126">
        <f t="shared" si="19"/>
        <v>2025</v>
      </c>
      <c r="F49" s="128" t="s">
        <v>438</v>
      </c>
      <c r="G49" s="149">
        <f t="shared" si="20"/>
        <v>31</v>
      </c>
      <c r="H49" s="153"/>
      <c r="I49" s="153"/>
      <c r="J49" s="151">
        <f t="shared" si="10"/>
        <v>4.5999999999999996</v>
      </c>
      <c r="K49" s="153"/>
      <c r="L49" s="149"/>
      <c r="M49" s="155">
        <v>7990.5</v>
      </c>
      <c r="N49" s="155">
        <v>80</v>
      </c>
      <c r="O49" s="127"/>
      <c r="P49" s="154"/>
      <c r="Q49" s="149">
        <f>COUNTIFS('Daily KPI'!$D:$D,D49,'Daily KPI'!$M:$M,"&gt;0")</f>
        <v>3</v>
      </c>
      <c r="R49" s="155"/>
      <c r="S49" s="155"/>
      <c r="T49" s="154">
        <f t="shared" si="21"/>
        <v>257.75806451612902</v>
      </c>
      <c r="U49" s="155">
        <f t="shared" si="22"/>
        <v>773.27419354838707</v>
      </c>
      <c r="V49" s="155">
        <f>SUMIF($F$2:F49,F49,$U$2:U49)</f>
        <v>773.27419354838707</v>
      </c>
      <c r="W49" s="127">
        <f t="shared" si="14"/>
        <v>0.13424899193548387</v>
      </c>
      <c r="X49" s="127">
        <f t="shared" si="15"/>
        <v>0.13424899193548387</v>
      </c>
      <c r="Y49" s="127">
        <f t="shared" si="16"/>
        <v>0.13424899193548387</v>
      </c>
      <c r="Z49" s="154">
        <f>IFERROR(AVERAGEIF('Daily KPI'!D:D,Table14[[#This Row],[Month]],'Daily KPI'!AB:AB),"")</f>
        <v>80</v>
      </c>
      <c r="AA49" s="150">
        <f>IFERROR(AVERAGEIF($F$2:F49,F49,$Z$2:Z49),"")</f>
        <v>80</v>
      </c>
      <c r="AB49" s="155"/>
      <c r="AC49" s="154">
        <f t="shared" si="23"/>
        <v>7.411120320091455</v>
      </c>
      <c r="AD49" s="154">
        <f>AVERAGEIF($F$2:F49,F49,$AC$2:AC49)</f>
        <v>7.3184021148899676</v>
      </c>
      <c r="AE49" s="127">
        <f t="shared" si="17"/>
        <v>0.96029999999999993</v>
      </c>
      <c r="AF49" s="127">
        <v>0.995</v>
      </c>
      <c r="AG49" s="127"/>
      <c r="AH49" s="127">
        <v>0.97</v>
      </c>
      <c r="AI49" s="127">
        <v>0.99</v>
      </c>
      <c r="AJ49" s="127">
        <v>0.95</v>
      </c>
      <c r="AK49" s="127">
        <v>0.05</v>
      </c>
      <c r="AL49" s="127">
        <v>0.05</v>
      </c>
      <c r="AM49" s="175"/>
      <c r="AN49" s="175"/>
    </row>
    <row r="50" spans="1:40">
      <c r="A50" s="149">
        <f t="shared" si="6"/>
        <v>49</v>
      </c>
      <c r="B50" s="148" t="str">
        <f t="shared" ref="B50:C50" si="33">B38</f>
        <v>April</v>
      </c>
      <c r="C50" s="149">
        <f t="shared" si="33"/>
        <v>4</v>
      </c>
      <c r="D50" s="148">
        <v>45748</v>
      </c>
      <c r="E50" s="126">
        <f t="shared" si="19"/>
        <v>2025</v>
      </c>
      <c r="F50" s="128" t="s">
        <v>439</v>
      </c>
      <c r="G50" s="149">
        <f t="shared" si="20"/>
        <v>30</v>
      </c>
      <c r="H50" s="153"/>
      <c r="I50" s="153"/>
      <c r="J50" s="151">
        <f t="shared" si="10"/>
        <v>5.6333333333333329</v>
      </c>
      <c r="K50" s="153"/>
      <c r="L50" s="149"/>
      <c r="M50" s="155">
        <v>10226.654178101568</v>
      </c>
      <c r="N50" s="155">
        <v>78</v>
      </c>
      <c r="O50" s="127"/>
      <c r="P50" s="154"/>
      <c r="Q50" s="149">
        <f>COUNTIFS('Daily KPI'!$D:$D,D50,'Daily KPI'!$M:$M,"&gt;0")</f>
        <v>30</v>
      </c>
      <c r="R50" s="155"/>
      <c r="S50" s="155"/>
      <c r="T50" s="154">
        <f t="shared" si="21"/>
        <v>340.88847260338559</v>
      </c>
      <c r="U50" s="155">
        <f t="shared" si="22"/>
        <v>10226.654178101568</v>
      </c>
      <c r="V50" s="155">
        <f>SUMIF($F$2:F50,F50,$U$2:U50)</f>
        <v>10226.654178101568</v>
      </c>
      <c r="W50" s="127">
        <f t="shared" si="14"/>
        <v>0.18209854305736409</v>
      </c>
      <c r="X50" s="127">
        <f t="shared" si="15"/>
        <v>0.18209854305736409</v>
      </c>
      <c r="Y50" s="127">
        <f t="shared" si="16"/>
        <v>0.18209854305736409</v>
      </c>
      <c r="Z50" s="154">
        <f>IFERROR(AVERAGEIF('Daily KPI'!D:D,Table14[[#This Row],[Month]],'Daily KPI'!AB:AB),"")</f>
        <v>78</v>
      </c>
      <c r="AA50" s="150">
        <f>IFERROR(AVERAGEIF($F$2:F50,F50,$Z$2:Z50),"")</f>
        <v>78</v>
      </c>
      <c r="AB50" s="155"/>
      <c r="AC50" s="154">
        <f t="shared" si="23"/>
        <v>6.4041034581308942</v>
      </c>
      <c r="AD50" s="154">
        <f>AVERAGEIF($F$2:F50,F50,$AC$2:AC50)</f>
        <v>6.4041034581308942</v>
      </c>
      <c r="AE50" s="127">
        <f t="shared" si="17"/>
        <v>0.96029999999999993</v>
      </c>
      <c r="AF50" s="127">
        <v>0.995</v>
      </c>
      <c r="AG50" s="127"/>
      <c r="AH50" s="127">
        <v>0.97</v>
      </c>
      <c r="AI50" s="127">
        <v>0.99</v>
      </c>
      <c r="AJ50" s="127">
        <v>0.95</v>
      </c>
      <c r="AK50" s="127">
        <v>0.05</v>
      </c>
      <c r="AL50" s="127">
        <v>0.05</v>
      </c>
      <c r="AM50" s="175"/>
      <c r="AN50" s="175"/>
    </row>
    <row r="51" spans="1:40">
      <c r="A51" s="149">
        <f t="shared" si="6"/>
        <v>50</v>
      </c>
      <c r="B51" s="148" t="str">
        <f t="shared" ref="B51:C51" si="34">B39</f>
        <v>May</v>
      </c>
      <c r="C51" s="149">
        <f t="shared" si="34"/>
        <v>5</v>
      </c>
      <c r="D51" s="148">
        <v>45778</v>
      </c>
      <c r="E51" s="126">
        <f t="shared" si="19"/>
        <v>2025</v>
      </c>
      <c r="F51" s="128" t="s">
        <v>439</v>
      </c>
      <c r="G51" s="149">
        <f t="shared" si="20"/>
        <v>31</v>
      </c>
      <c r="H51" s="153"/>
      <c r="I51" s="153"/>
      <c r="J51" s="151">
        <f t="shared" si="10"/>
        <v>6.5666666666666664</v>
      </c>
      <c r="K51" s="153"/>
      <c r="L51" s="149"/>
      <c r="M51" s="155">
        <v>17310.04017244092</v>
      </c>
      <c r="N51" s="155">
        <v>78</v>
      </c>
      <c r="O51" s="127"/>
      <c r="P51" s="154"/>
      <c r="Q51" s="149">
        <f>COUNTIFS('Daily KPI'!$D:$D,D51,'Daily KPI'!$M:$M,"&gt;0")</f>
        <v>31</v>
      </c>
      <c r="R51" s="155"/>
      <c r="S51" s="155"/>
      <c r="T51" s="154">
        <f t="shared" si="21"/>
        <v>558.38839265938452</v>
      </c>
      <c r="U51" s="155">
        <f t="shared" si="22"/>
        <v>17310.04017244092</v>
      </c>
      <c r="V51" s="155">
        <f>SUMIF($F$2:F51,F51,$U$2:U51)</f>
        <v>27536.694350542486</v>
      </c>
      <c r="W51" s="127">
        <f t="shared" si="14"/>
        <v>0.29828439778813276</v>
      </c>
      <c r="X51" s="127">
        <f t="shared" si="15"/>
        <v>0.29828439778813276</v>
      </c>
      <c r="Y51" s="127">
        <f t="shared" si="16"/>
        <v>0.24114381349431208</v>
      </c>
      <c r="Z51" s="154">
        <f>IFERROR(AVERAGEIF('Daily KPI'!D:D,Table14[[#This Row],[Month]],'Daily KPI'!AB:AB),"")</f>
        <v>78</v>
      </c>
      <c r="AA51" s="150">
        <f>IFERROR(AVERAGEIF($F$2:F51,F51,$Z$2:Z51),"")</f>
        <v>78</v>
      </c>
      <c r="AB51" s="155"/>
      <c r="AC51" s="154">
        <f t="shared" si="23"/>
        <v>5.9681800514432695</v>
      </c>
      <c r="AD51" s="154">
        <f>AVERAGEIF($F$2:F51,F51,$AC$2:AC51)</f>
        <v>6.1861417547870818</v>
      </c>
      <c r="AE51" s="127">
        <f t="shared" si="17"/>
        <v>0.96029999999999993</v>
      </c>
      <c r="AF51" s="127">
        <v>0.995</v>
      </c>
      <c r="AG51" s="127"/>
      <c r="AH51" s="127">
        <v>0.97</v>
      </c>
      <c r="AI51" s="127">
        <v>0.99</v>
      </c>
      <c r="AJ51" s="127">
        <v>0.95</v>
      </c>
      <c r="AK51" s="127">
        <v>0.05</v>
      </c>
      <c r="AL51" s="127">
        <v>0.05</v>
      </c>
      <c r="AM51" s="175"/>
      <c r="AN51" s="175"/>
    </row>
    <row r="52" spans="1:40">
      <c r="A52" s="149">
        <f t="shared" si="6"/>
        <v>51</v>
      </c>
      <c r="B52" s="148" t="str">
        <f t="shared" ref="B52:C52" si="35">B40</f>
        <v>June</v>
      </c>
      <c r="C52" s="149">
        <f t="shared" si="35"/>
        <v>6</v>
      </c>
      <c r="D52" s="148">
        <v>45809</v>
      </c>
      <c r="E52" s="126">
        <f t="shared" si="19"/>
        <v>2025</v>
      </c>
      <c r="F52" s="128" t="s">
        <v>439</v>
      </c>
      <c r="G52" s="149">
        <f t="shared" si="20"/>
        <v>30</v>
      </c>
      <c r="H52" s="153"/>
      <c r="I52" s="153"/>
      <c r="J52" s="151">
        <f t="shared" si="10"/>
        <v>6.5666666666666664</v>
      </c>
      <c r="K52" s="153"/>
      <c r="L52" s="149"/>
      <c r="M52" s="155">
        <v>15038.260263404412</v>
      </c>
      <c r="N52" s="155">
        <v>78</v>
      </c>
      <c r="O52" s="127"/>
      <c r="P52" s="154"/>
      <c r="Q52" s="149">
        <f>COUNTIFS('Daily KPI'!$D:$D,D52,'Daily KPI'!$M:$M,"&gt;0")</f>
        <v>30</v>
      </c>
      <c r="R52" s="155"/>
      <c r="S52" s="155"/>
      <c r="T52" s="154">
        <f t="shared" si="21"/>
        <v>501.27534211348041</v>
      </c>
      <c r="U52" s="155">
        <f t="shared" si="22"/>
        <v>15038.260263404412</v>
      </c>
      <c r="V52" s="155">
        <f>SUMIF($F$2:F52,F52,$U$2:U52)</f>
        <v>42574.954613946902</v>
      </c>
      <c r="W52" s="127">
        <f t="shared" si="14"/>
        <v>0.26777528959053443</v>
      </c>
      <c r="X52" s="127">
        <f t="shared" si="15"/>
        <v>0.26777528959053443</v>
      </c>
      <c r="Y52" s="127">
        <f t="shared" si="16"/>
        <v>0.24992342099856121</v>
      </c>
      <c r="Z52" s="154">
        <f>IFERROR(AVERAGEIF('Daily KPI'!D:D,Table14[[#This Row],[Month]],'Daily KPI'!AB:AB),"")</f>
        <v>78</v>
      </c>
      <c r="AA52" s="150">
        <f>IFERROR(AVERAGEIF($F$2:F52,F52,$Z$2:Z52),"")</f>
        <v>78</v>
      </c>
      <c r="AB52" s="155"/>
      <c r="AC52" s="154">
        <f t="shared" si="23"/>
        <v>5.6310997427836513</v>
      </c>
      <c r="AD52" s="154">
        <f>AVERAGEIF($F$2:F52,F52,$AC$2:AC52)</f>
        <v>6.0011277507859377</v>
      </c>
      <c r="AE52" s="127">
        <f t="shared" si="17"/>
        <v>0.96029999999999993</v>
      </c>
      <c r="AF52" s="127">
        <v>0.995</v>
      </c>
      <c r="AG52" s="127"/>
      <c r="AH52" s="127">
        <v>0.97</v>
      </c>
      <c r="AI52" s="127">
        <v>0.99</v>
      </c>
      <c r="AJ52" s="127">
        <v>0.95</v>
      </c>
      <c r="AK52" s="127">
        <v>0.05</v>
      </c>
      <c r="AL52" s="127">
        <v>0.05</v>
      </c>
      <c r="AM52" s="175"/>
      <c r="AN52" s="175"/>
    </row>
    <row r="53" spans="1:40">
      <c r="A53" s="149">
        <f t="shared" si="6"/>
        <v>52</v>
      </c>
      <c r="B53" s="148" t="str">
        <f t="shared" ref="B53:C53" si="36">B41</f>
        <v>July</v>
      </c>
      <c r="C53" s="149">
        <f t="shared" si="36"/>
        <v>7</v>
      </c>
      <c r="D53" s="148">
        <v>45839</v>
      </c>
      <c r="E53" s="126">
        <f t="shared" si="19"/>
        <v>2025</v>
      </c>
      <c r="F53" s="128" t="s">
        <v>439</v>
      </c>
      <c r="G53" s="149">
        <f t="shared" si="20"/>
        <v>31</v>
      </c>
      <c r="H53" s="153"/>
      <c r="I53" s="153"/>
      <c r="J53" s="151">
        <f t="shared" si="10"/>
        <v>7.6000000000000005</v>
      </c>
      <c r="K53" s="153"/>
      <c r="L53" s="149"/>
      <c r="M53" s="155">
        <v>18159.732401608842</v>
      </c>
      <c r="N53" s="155">
        <v>78</v>
      </c>
      <c r="O53" s="127"/>
      <c r="P53" s="154"/>
      <c r="Q53" s="149">
        <f>COUNTIFS('Daily KPI'!$D:$D,D53,'Daily KPI'!$M:$M,"&gt;0")</f>
        <v>10</v>
      </c>
      <c r="R53" s="155"/>
      <c r="S53" s="155"/>
      <c r="T53" s="154">
        <f t="shared" si="21"/>
        <v>585.79781940673683</v>
      </c>
      <c r="U53" s="155">
        <f t="shared" si="22"/>
        <v>5857.9781940673683</v>
      </c>
      <c r="V53" s="155">
        <f>SUMIF($F$2:F53,F53,$U$2:U53)</f>
        <v>48432.932808014273</v>
      </c>
      <c r="W53" s="127">
        <f t="shared" si="14"/>
        <v>0.31292618558052182</v>
      </c>
      <c r="X53" s="127">
        <f t="shared" si="15"/>
        <v>0.31292618558052182</v>
      </c>
      <c r="Y53" s="127">
        <f t="shared" si="16"/>
        <v>0.25616131848192369</v>
      </c>
      <c r="Z53" s="154">
        <f>IFERROR(AVERAGEIF('Daily KPI'!D:D,Table14[[#This Row],[Month]],'Daily KPI'!AB:AB),"")</f>
        <v>25.161290322580644</v>
      </c>
      <c r="AA53" s="150">
        <f>IFERROR(AVERAGEIF($F$2:F53,F53,$Z$2:Z53),"")</f>
        <v>64.790322580645167</v>
      </c>
      <c r="AB53" s="155"/>
      <c r="AC53" s="154">
        <f t="shared" si="23"/>
        <v>7.1310648756787653</v>
      </c>
      <c r="AD53" s="154">
        <f>AVERAGEIF($F$2:F53,F53,$AC$2:AC53)</f>
        <v>6.2836120320091453</v>
      </c>
      <c r="AE53" s="127">
        <f t="shared" si="17"/>
        <v>0.96029999999999993</v>
      </c>
      <c r="AF53" s="127">
        <v>0.995</v>
      </c>
      <c r="AG53" s="127"/>
      <c r="AH53" s="127">
        <v>0.97</v>
      </c>
      <c r="AI53" s="127">
        <v>0.99</v>
      </c>
      <c r="AJ53" s="127">
        <v>0.95</v>
      </c>
      <c r="AK53" s="127">
        <v>0.05</v>
      </c>
      <c r="AL53" s="127">
        <v>0.05</v>
      </c>
      <c r="AM53" s="175"/>
      <c r="AN53" s="175"/>
    </row>
    <row r="54" spans="1:40">
      <c r="A54" s="149">
        <f t="shared" si="6"/>
        <v>53</v>
      </c>
      <c r="B54" s="148" t="str">
        <f t="shared" ref="B54:C54" si="37">B42</f>
        <v>August</v>
      </c>
      <c r="C54" s="149">
        <f t="shared" si="37"/>
        <v>8</v>
      </c>
      <c r="D54" s="148">
        <v>45870</v>
      </c>
      <c r="E54" s="126">
        <f t="shared" si="19"/>
        <v>2025</v>
      </c>
      <c r="F54" s="128" t="s">
        <v>439</v>
      </c>
      <c r="G54" s="149">
        <f t="shared" si="20"/>
        <v>31</v>
      </c>
      <c r="H54" s="153"/>
      <c r="I54" s="153"/>
      <c r="J54" s="151">
        <f t="shared" si="10"/>
        <v>6.8666666666666671</v>
      </c>
      <c r="K54" s="153"/>
      <c r="L54" s="149"/>
      <c r="M54" s="155">
        <v>19096.422637323503</v>
      </c>
      <c r="N54" s="155">
        <v>78</v>
      </c>
      <c r="O54" s="127"/>
      <c r="P54" s="154"/>
      <c r="Q54" s="149">
        <f>COUNTIFS('Daily KPI'!$D:$D,D54,'Daily KPI'!$M:$M,"&gt;0")</f>
        <v>0</v>
      </c>
      <c r="R54" s="155"/>
      <c r="S54" s="155"/>
      <c r="T54" s="154">
        <f t="shared" si="21"/>
        <v>616.01363346204846</v>
      </c>
      <c r="U54" s="155">
        <f t="shared" si="22"/>
        <v>0</v>
      </c>
      <c r="V54" s="155">
        <f>SUMIF($F$2:F54,F54,$U$2:U54)</f>
        <v>48432.932808014273</v>
      </c>
      <c r="W54" s="127">
        <f t="shared" si="14"/>
        <v>0.3290671118921199</v>
      </c>
      <c r="X54" s="127" t="str">
        <f t="shared" si="15"/>
        <v/>
      </c>
      <c r="Y54" s="127">
        <f t="shared" si="16"/>
        <v>0.25616131848192369</v>
      </c>
      <c r="Z54" s="154">
        <f>IFERROR(AVERAGEIF('Daily KPI'!D:D,Table14[[#This Row],[Month]],'Daily KPI'!AB:AB),"")</f>
        <v>0</v>
      </c>
      <c r="AA54" s="150">
        <f>IFERROR(AVERAGEIF($F$2:F54,F54,$Z$2:Z54),"")</f>
        <v>51.832258064516132</v>
      </c>
      <c r="AB54" s="155"/>
      <c r="AC54" s="154">
        <f t="shared" si="23"/>
        <v>9.4530328665332952</v>
      </c>
      <c r="AD54" s="154">
        <f>AVERAGEIF($F$2:F54,F54,$AC$2:AC54)</f>
        <v>6.9174961989139749</v>
      </c>
      <c r="AE54" s="127">
        <f t="shared" si="17"/>
        <v>0.96029999999999993</v>
      </c>
      <c r="AF54" s="127">
        <v>0.995</v>
      </c>
      <c r="AG54" s="127"/>
      <c r="AH54" s="127">
        <v>0.97</v>
      </c>
      <c r="AI54" s="127">
        <v>0.99</v>
      </c>
      <c r="AJ54" s="127">
        <v>0.95</v>
      </c>
      <c r="AK54" s="127">
        <v>0.05</v>
      </c>
      <c r="AL54" s="127">
        <v>0.05</v>
      </c>
      <c r="AM54" s="175"/>
      <c r="AN54" s="175"/>
    </row>
    <row r="55" spans="1:40">
      <c r="A55" s="149">
        <f t="shared" si="6"/>
        <v>54</v>
      </c>
      <c r="B55" s="148" t="str">
        <f t="shared" ref="B55:C55" si="38">B43</f>
        <v>September</v>
      </c>
      <c r="C55" s="149">
        <f t="shared" si="38"/>
        <v>9</v>
      </c>
      <c r="D55" s="148">
        <v>45901</v>
      </c>
      <c r="E55" s="126">
        <f t="shared" si="19"/>
        <v>2025</v>
      </c>
      <c r="F55" s="128" t="s">
        <v>439</v>
      </c>
      <c r="G55" s="149">
        <f t="shared" si="20"/>
        <v>30</v>
      </c>
      <c r="H55" s="153"/>
      <c r="I55" s="153"/>
      <c r="J55" s="151">
        <f t="shared" si="10"/>
        <v>5.0333333333333332</v>
      </c>
      <c r="K55" s="153"/>
      <c r="L55" s="149"/>
      <c r="M55" s="155">
        <v>8385.892011959113</v>
      </c>
      <c r="N55" s="155">
        <v>78</v>
      </c>
      <c r="O55" s="127"/>
      <c r="P55" s="154"/>
      <c r="Q55" s="149">
        <f>COUNTIFS('Daily KPI'!$D:$D,D55,'Daily KPI'!$M:$M,"&gt;0")</f>
        <v>0</v>
      </c>
      <c r="R55" s="155"/>
      <c r="S55" s="155"/>
      <c r="T55" s="154">
        <f t="shared" si="21"/>
        <v>279.52973373197045</v>
      </c>
      <c r="U55" s="155">
        <f t="shared" si="22"/>
        <v>0</v>
      </c>
      <c r="V55" s="155">
        <f>SUMIF($F$2:F55,F55,$U$2:U55)</f>
        <v>48432.932808014273</v>
      </c>
      <c r="W55" s="127">
        <f t="shared" si="14"/>
        <v>0.14932143895938593</v>
      </c>
      <c r="X55" s="127" t="str">
        <f t="shared" si="15"/>
        <v/>
      </c>
      <c r="Y55" s="127">
        <f t="shared" si="16"/>
        <v>0.25616131848192369</v>
      </c>
      <c r="Z55" s="154" t="str">
        <f>IFERROR(AVERAGEIF('Daily KPI'!D:D,Table14[[#This Row],[Month]],'Daily KPI'!AB:AB),"")</f>
        <v/>
      </c>
      <c r="AA55" s="150">
        <f>IFERROR(AVERAGEIF($F$2:F55,F55,$Z$2:Z55),"")</f>
        <v>51.832258064516132</v>
      </c>
      <c r="AB55" s="155"/>
      <c r="AC55" s="154">
        <f t="shared" si="23"/>
        <v>10.303759359817088</v>
      </c>
      <c r="AD55" s="154">
        <f>AVERAGEIF($F$2:F55,F55,$AC$2:AC55)</f>
        <v>7.4818733923978264</v>
      </c>
      <c r="AE55" s="127">
        <f t="shared" si="17"/>
        <v>0.96029999999999993</v>
      </c>
      <c r="AF55" s="127">
        <v>0.995</v>
      </c>
      <c r="AG55" s="127"/>
      <c r="AH55" s="127">
        <v>0.97</v>
      </c>
      <c r="AI55" s="127">
        <v>0.99</v>
      </c>
      <c r="AJ55" s="127">
        <v>0.95</v>
      </c>
      <c r="AK55" s="127">
        <v>0.05</v>
      </c>
      <c r="AL55" s="127">
        <v>0.05</v>
      </c>
      <c r="AM55" s="175"/>
      <c r="AN55" s="175"/>
    </row>
    <row r="56" spans="1:40">
      <c r="A56" s="149">
        <f t="shared" si="6"/>
        <v>55</v>
      </c>
      <c r="B56" s="148" t="str">
        <f t="shared" ref="B56:C56" si="39">B44</f>
        <v>October</v>
      </c>
      <c r="C56" s="149">
        <f t="shared" si="39"/>
        <v>10</v>
      </c>
      <c r="D56" s="148">
        <v>45931</v>
      </c>
      <c r="E56" s="126">
        <f t="shared" si="19"/>
        <v>2025</v>
      </c>
      <c r="F56" s="128" t="s">
        <v>439</v>
      </c>
      <c r="G56" s="149">
        <f t="shared" si="20"/>
        <v>31</v>
      </c>
      <c r="H56" s="153"/>
      <c r="I56" s="153"/>
      <c r="J56" s="151">
        <f t="shared" si="10"/>
        <v>3.9666666666666668</v>
      </c>
      <c r="K56" s="153"/>
      <c r="L56" s="149"/>
      <c r="M56" s="155">
        <v>5102.5336704925885</v>
      </c>
      <c r="N56" s="155">
        <v>78</v>
      </c>
      <c r="O56" s="127"/>
      <c r="P56" s="154"/>
      <c r="Q56" s="149">
        <f>COUNTIFS('Daily KPI'!$D:$D,D56,'Daily KPI'!$M:$M,"&gt;0")</f>
        <v>0</v>
      </c>
      <c r="R56" s="155"/>
      <c r="S56" s="155"/>
      <c r="T56" s="154">
        <f t="shared" si="21"/>
        <v>164.59786033847061</v>
      </c>
      <c r="U56" s="155">
        <f t="shared" si="22"/>
        <v>0</v>
      </c>
      <c r="V56" s="155">
        <f>SUMIF($F$2:F56,F56,$U$2:U56)</f>
        <v>48432.932808014273</v>
      </c>
      <c r="W56" s="127">
        <f t="shared" si="14"/>
        <v>8.792620744576421E-2</v>
      </c>
      <c r="X56" s="127" t="str">
        <f t="shared" si="15"/>
        <v/>
      </c>
      <c r="Y56" s="127">
        <f t="shared" si="16"/>
        <v>0.25616131848192369</v>
      </c>
      <c r="Z56" s="154" t="str">
        <f>IFERROR(AVERAGEIF('Daily KPI'!D:D,Table14[[#This Row],[Month]],'Daily KPI'!AB:AB),"")</f>
        <v/>
      </c>
      <c r="AA56" s="150">
        <f>IFERROR(AVERAGEIF($F$2:F56,F56,$Z$2:Z56),"")</f>
        <v>51.832258064516132</v>
      </c>
      <c r="AB56" s="155"/>
      <c r="AC56" s="154">
        <f t="shared" si="23"/>
        <v>8.5195147184909956</v>
      </c>
      <c r="AD56" s="154">
        <f>AVERAGEIF($F$2:F56,F56,$AC$2:AC56)</f>
        <v>7.6301078675539937</v>
      </c>
      <c r="AE56" s="127">
        <f t="shared" si="17"/>
        <v>0.96029999999999993</v>
      </c>
      <c r="AF56" s="127">
        <v>0.995</v>
      </c>
      <c r="AG56" s="127"/>
      <c r="AH56" s="127">
        <v>0.97</v>
      </c>
      <c r="AI56" s="127">
        <v>0.99</v>
      </c>
      <c r="AJ56" s="127">
        <v>0.95</v>
      </c>
      <c r="AK56" s="127">
        <v>0.05</v>
      </c>
      <c r="AL56" s="127">
        <v>0.05</v>
      </c>
      <c r="AM56" s="175"/>
      <c r="AN56" s="175"/>
    </row>
    <row r="57" spans="1:40">
      <c r="A57" s="149">
        <f t="shared" si="6"/>
        <v>56</v>
      </c>
      <c r="B57" s="148" t="str">
        <f t="shared" ref="B57:C57" si="40">B45</f>
        <v>November</v>
      </c>
      <c r="C57" s="149">
        <f t="shared" si="40"/>
        <v>11</v>
      </c>
      <c r="D57" s="148">
        <v>45962</v>
      </c>
      <c r="E57" s="126">
        <f t="shared" si="19"/>
        <v>2025</v>
      </c>
      <c r="F57" s="128" t="s">
        <v>439</v>
      </c>
      <c r="G57" s="149">
        <f t="shared" si="20"/>
        <v>30</v>
      </c>
      <c r="H57" s="153"/>
      <c r="I57" s="153"/>
      <c r="J57" s="151">
        <f t="shared" si="10"/>
        <v>4.0333333333333332</v>
      </c>
      <c r="K57" s="153"/>
      <c r="L57" s="149"/>
      <c r="M57" s="155">
        <v>4876.513893138198</v>
      </c>
      <c r="N57" s="155">
        <v>78</v>
      </c>
      <c r="O57" s="127"/>
      <c r="P57" s="154"/>
      <c r="Q57" s="149">
        <f>COUNTIFS('Daily KPI'!$D:$D,D57,'Daily KPI'!$M:$M,"&gt;0")</f>
        <v>0</v>
      </c>
      <c r="R57" s="155"/>
      <c r="S57" s="155"/>
      <c r="T57" s="154">
        <f t="shared" si="21"/>
        <v>162.55046310460659</v>
      </c>
      <c r="U57" s="155">
        <f t="shared" si="22"/>
        <v>0</v>
      </c>
      <c r="V57" s="155">
        <f>SUMIF($F$2:F57,F57,$U$2:U57)</f>
        <v>48432.932808014273</v>
      </c>
      <c r="W57" s="127">
        <f t="shared" si="14"/>
        <v>8.6832512342204377E-2</v>
      </c>
      <c r="X57" s="127" t="str">
        <f t="shared" si="15"/>
        <v/>
      </c>
      <c r="Y57" s="127">
        <f t="shared" si="16"/>
        <v>0.25616131848192369</v>
      </c>
      <c r="Z57" s="154" t="str">
        <f>IFERROR(AVERAGEIF('Daily KPI'!D:D,Table14[[#This Row],[Month]],'Daily KPI'!AB:AB),"")</f>
        <v/>
      </c>
      <c r="AA57" s="150">
        <f>IFERROR(AVERAGEIF($F$2:F57,F57,$Z$2:Z57),"")</f>
        <v>51.832258064516132</v>
      </c>
      <c r="AB57" s="155"/>
      <c r="AC57" s="154">
        <f t="shared" si="23"/>
        <v>7.2366664761360369</v>
      </c>
      <c r="AD57" s="154">
        <f>AVERAGEIF($F$2:F57,F57,$AC$2:AC57)</f>
        <v>7.5809276936267489</v>
      </c>
      <c r="AE57" s="127">
        <f t="shared" si="17"/>
        <v>0.96029999999999993</v>
      </c>
      <c r="AF57" s="127">
        <v>0.995</v>
      </c>
      <c r="AG57" s="127"/>
      <c r="AH57" s="127">
        <v>0.97</v>
      </c>
      <c r="AI57" s="127">
        <v>0.99</v>
      </c>
      <c r="AJ57" s="127">
        <v>0.95</v>
      </c>
      <c r="AK57" s="127">
        <v>0.05</v>
      </c>
      <c r="AL57" s="127">
        <v>0.05</v>
      </c>
      <c r="AM57" s="175"/>
      <c r="AN57" s="175"/>
    </row>
    <row r="58" spans="1:40">
      <c r="A58" s="149">
        <f t="shared" si="6"/>
        <v>57</v>
      </c>
      <c r="B58" s="148" t="str">
        <f t="shared" ref="B58:C58" si="41">B46</f>
        <v>December</v>
      </c>
      <c r="C58" s="149">
        <f t="shared" si="41"/>
        <v>12</v>
      </c>
      <c r="D58" s="148">
        <v>45992</v>
      </c>
      <c r="E58" s="126">
        <f t="shared" si="19"/>
        <v>2025</v>
      </c>
      <c r="F58" s="128" t="s">
        <v>439</v>
      </c>
      <c r="G58" s="149">
        <f t="shared" si="20"/>
        <v>31</v>
      </c>
      <c r="H58" s="153"/>
      <c r="I58" s="153"/>
      <c r="J58" s="151">
        <f t="shared" si="10"/>
        <v>4.4333333333333336</v>
      </c>
      <c r="K58" s="153"/>
      <c r="L58" s="149"/>
      <c r="M58" s="155">
        <v>5701.5948437287434</v>
      </c>
      <c r="N58" s="155">
        <v>78</v>
      </c>
      <c r="O58" s="127"/>
      <c r="P58" s="154"/>
      <c r="Q58" s="149">
        <f>COUNTIFS('Daily KPI'!$D:$D,D58,'Daily KPI'!$M:$M,"&gt;0")</f>
        <v>0</v>
      </c>
      <c r="R58" s="155"/>
      <c r="S58" s="155"/>
      <c r="T58" s="154">
        <f t="shared" si="21"/>
        <v>183.92241431383044</v>
      </c>
      <c r="U58" s="155">
        <f t="shared" si="22"/>
        <v>0</v>
      </c>
      <c r="V58" s="155">
        <f>SUMIF($F$2:F58,F58,$U$2:U58)</f>
        <v>48432.932808014273</v>
      </c>
      <c r="W58" s="127">
        <f t="shared" si="14"/>
        <v>9.8249152945422247E-2</v>
      </c>
      <c r="X58" s="127" t="str">
        <f t="shared" si="15"/>
        <v/>
      </c>
      <c r="Y58" s="127">
        <f t="shared" si="16"/>
        <v>0.25616131848192369</v>
      </c>
      <c r="Z58" s="154" t="str">
        <f>IFERROR(AVERAGEIF('Daily KPI'!D:D,Table14[[#This Row],[Month]],'Daily KPI'!AB:AB),"")</f>
        <v/>
      </c>
      <c r="AA58" s="150">
        <f>IFERROR(AVERAGEIF($F$2:F58,F58,$Z$2:Z58),"")</f>
        <v>51.832258064516132</v>
      </c>
      <c r="AB58" s="155"/>
      <c r="AC58" s="154">
        <f t="shared" si="23"/>
        <v>6.0015501571877659</v>
      </c>
      <c r="AD58" s="154">
        <f>AVERAGEIF($F$2:F58,F58,$AC$2:AC58)</f>
        <v>7.4054413006890849</v>
      </c>
      <c r="AE58" s="127">
        <f t="shared" si="17"/>
        <v>0.96029999999999993</v>
      </c>
      <c r="AF58" s="127">
        <v>0.995</v>
      </c>
      <c r="AG58" s="127"/>
      <c r="AH58" s="127">
        <v>0.97</v>
      </c>
      <c r="AI58" s="127">
        <v>0.99</v>
      </c>
      <c r="AJ58" s="127">
        <v>0.95</v>
      </c>
      <c r="AK58" s="127">
        <v>0.05</v>
      </c>
      <c r="AL58" s="127">
        <v>0.05</v>
      </c>
      <c r="AM58" s="175"/>
      <c r="AN58" s="175"/>
    </row>
    <row r="59" spans="1:40">
      <c r="A59" s="149">
        <f t="shared" si="6"/>
        <v>58</v>
      </c>
      <c r="B59" s="148" t="str">
        <f t="shared" ref="B59:C59" si="42">B47</f>
        <v>January</v>
      </c>
      <c r="C59" s="149">
        <f t="shared" si="42"/>
        <v>1</v>
      </c>
      <c r="D59" s="148">
        <v>46023</v>
      </c>
      <c r="E59" s="126">
        <f t="shared" si="19"/>
        <v>2026</v>
      </c>
      <c r="F59" s="128" t="s">
        <v>439</v>
      </c>
      <c r="G59" s="149">
        <f t="shared" si="20"/>
        <v>31</v>
      </c>
      <c r="H59" s="153"/>
      <c r="I59" s="153"/>
      <c r="J59" s="151">
        <f t="shared" si="10"/>
        <v>3.8</v>
      </c>
      <c r="K59" s="153"/>
      <c r="L59" s="149"/>
      <c r="M59" s="155">
        <v>3970.895275880705</v>
      </c>
      <c r="N59" s="155">
        <v>78</v>
      </c>
      <c r="O59" s="127"/>
      <c r="P59" s="154"/>
      <c r="Q59" s="149">
        <f>COUNTIFS('Daily KPI'!$D:$D,D59,'Daily KPI'!$M:$M,"&gt;0")</f>
        <v>0</v>
      </c>
      <c r="R59" s="155"/>
      <c r="S59" s="155"/>
      <c r="T59" s="154">
        <f t="shared" si="21"/>
        <v>128.09339599615177</v>
      </c>
      <c r="U59" s="155">
        <f t="shared" si="22"/>
        <v>0</v>
      </c>
      <c r="V59" s="155">
        <f>SUMIF($F$2:F59,F59,$U$2:U59)</f>
        <v>48432.932808014273</v>
      </c>
      <c r="W59" s="127">
        <f t="shared" si="14"/>
        <v>6.8425959399653721E-2</v>
      </c>
      <c r="X59" s="127" t="str">
        <f t="shared" si="15"/>
        <v/>
      </c>
      <c r="Y59" s="127">
        <f t="shared" si="16"/>
        <v>0.25616131848192369</v>
      </c>
      <c r="Z59" s="154" t="str">
        <f>IFERROR(AVERAGEIF('Daily KPI'!D:D,Table14[[#This Row],[Month]],'Daily KPI'!AB:AB),"")</f>
        <v/>
      </c>
      <c r="AA59" s="150">
        <f>IFERROR(AVERAGEIF($F$2:F59,F59,$Z$2:Z59),"")</f>
        <v>51.832258064516132</v>
      </c>
      <c r="AB59" s="155"/>
      <c r="AC59" s="154">
        <f t="shared" si="23"/>
        <v>6.7073912546441834</v>
      </c>
      <c r="AD59" s="154">
        <f>AVERAGEIF($F$2:F59,F59,$AC$2:AC59)</f>
        <v>7.3356362960845942</v>
      </c>
      <c r="AE59" s="127">
        <f t="shared" si="17"/>
        <v>0.96029999999999993</v>
      </c>
      <c r="AF59" s="127">
        <v>0.995</v>
      </c>
      <c r="AG59" s="127"/>
      <c r="AH59" s="127">
        <v>0.97</v>
      </c>
      <c r="AI59" s="127">
        <v>0.99</v>
      </c>
      <c r="AJ59" s="127">
        <v>0.95</v>
      </c>
      <c r="AK59" s="127">
        <v>0.05</v>
      </c>
      <c r="AL59" s="127">
        <v>0.05</v>
      </c>
      <c r="AM59" s="175"/>
      <c r="AN59" s="175"/>
    </row>
    <row r="60" spans="1:40">
      <c r="A60" s="149">
        <f t="shared" si="6"/>
        <v>59</v>
      </c>
      <c r="B60" s="148" t="str">
        <f t="shared" ref="B60:C60" si="43">B48</f>
        <v>February</v>
      </c>
      <c r="C60" s="149">
        <f t="shared" si="43"/>
        <v>2</v>
      </c>
      <c r="D60" s="148">
        <v>46054</v>
      </c>
      <c r="E60" s="126">
        <f t="shared" si="19"/>
        <v>2026</v>
      </c>
      <c r="F60" s="128" t="s">
        <v>439</v>
      </c>
      <c r="G60" s="149">
        <f t="shared" si="20"/>
        <v>28</v>
      </c>
      <c r="H60" s="153"/>
      <c r="I60" s="153"/>
      <c r="J60" s="151">
        <f t="shared" si="10"/>
        <v>4.3</v>
      </c>
      <c r="K60" s="153"/>
      <c r="L60" s="149"/>
      <c r="M60" s="155">
        <v>4813.5808225669043</v>
      </c>
      <c r="N60" s="155">
        <v>78</v>
      </c>
      <c r="O60" s="127"/>
      <c r="P60" s="154"/>
      <c r="Q60" s="149">
        <f>COUNTIFS('Daily KPI'!$D:$D,D60,'Daily KPI'!$M:$M,"&gt;0")</f>
        <v>0</v>
      </c>
      <c r="R60" s="155"/>
      <c r="S60" s="155"/>
      <c r="T60" s="154">
        <f t="shared" si="21"/>
        <v>171.91360080596087</v>
      </c>
      <c r="U60" s="155">
        <f t="shared" si="22"/>
        <v>0</v>
      </c>
      <c r="V60" s="155">
        <f>SUMIF($F$2:F60,F60,$U$2:U60)</f>
        <v>48432.932808014273</v>
      </c>
      <c r="W60" s="127">
        <f t="shared" si="14"/>
        <v>9.1834188464722688E-2</v>
      </c>
      <c r="X60" s="127" t="str">
        <f t="shared" si="15"/>
        <v/>
      </c>
      <c r="Y60" s="127">
        <f t="shared" si="16"/>
        <v>0.25616131848192369</v>
      </c>
      <c r="Z60" s="154" t="str">
        <f>IFERROR(AVERAGEIF('Daily KPI'!D:D,Table14[[#This Row],[Month]],'Daily KPI'!AB:AB),"")</f>
        <v/>
      </c>
      <c r="AA60" s="150">
        <f>IFERROR(AVERAGEIF($F$2:F60,F60,$Z$2:Z60),"")</f>
        <v>51.832258064516132</v>
      </c>
      <c r="AB60" s="155"/>
      <c r="AC60" s="154">
        <f t="shared" si="23"/>
        <v>7.0533420977422105</v>
      </c>
      <c r="AD60" s="154">
        <f>AVERAGEIF($F$2:F60,F60,$AC$2:AC60)</f>
        <v>7.3099731871443785</v>
      </c>
      <c r="AE60" s="127">
        <f t="shared" si="17"/>
        <v>0.96029999999999993</v>
      </c>
      <c r="AF60" s="127">
        <v>0.995</v>
      </c>
      <c r="AG60" s="127"/>
      <c r="AH60" s="127">
        <v>0.97</v>
      </c>
      <c r="AI60" s="127">
        <v>0.99</v>
      </c>
      <c r="AJ60" s="127">
        <v>0.95</v>
      </c>
      <c r="AK60" s="127">
        <v>0.05</v>
      </c>
      <c r="AL60" s="127">
        <v>0.05</v>
      </c>
      <c r="AM60" s="175"/>
      <c r="AN60" s="175"/>
    </row>
    <row r="61" spans="1:40">
      <c r="A61" s="149">
        <f t="shared" si="6"/>
        <v>60</v>
      </c>
      <c r="B61" s="148" t="str">
        <f t="shared" ref="B61:C61" si="44">B49</f>
        <v>March</v>
      </c>
      <c r="C61" s="149">
        <f t="shared" si="44"/>
        <v>3</v>
      </c>
      <c r="D61" s="148">
        <v>46082</v>
      </c>
      <c r="E61" s="126">
        <f t="shared" si="19"/>
        <v>2026</v>
      </c>
      <c r="F61" s="128" t="s">
        <v>439</v>
      </c>
      <c r="G61" s="149">
        <f t="shared" si="20"/>
        <v>31</v>
      </c>
      <c r="H61" s="153"/>
      <c r="I61" s="153"/>
      <c r="J61" s="151">
        <f t="shared" si="10"/>
        <v>4.5999999999999996</v>
      </c>
      <c r="K61" s="153"/>
      <c r="L61" s="149"/>
      <c r="M61" s="155">
        <v>6855.8431753831883</v>
      </c>
      <c r="N61" s="155">
        <v>78</v>
      </c>
      <c r="O61" s="127"/>
      <c r="P61" s="154"/>
      <c r="Q61" s="149">
        <f>COUNTIFS('Daily KPI'!$D:$D,D61,'Daily KPI'!$M:$M,"&gt;0")</f>
        <v>0</v>
      </c>
      <c r="R61" s="155"/>
      <c r="S61" s="155"/>
      <c r="T61" s="154">
        <f t="shared" si="21"/>
        <v>221.15623146397382</v>
      </c>
      <c r="U61" s="155">
        <f t="shared" si="22"/>
        <v>0</v>
      </c>
      <c r="V61" s="155">
        <f>SUMIF($F$2:F61,F61,$U$2:U61)</f>
        <v>48432.932808014273</v>
      </c>
      <c r="W61" s="127">
        <f t="shared" si="14"/>
        <v>0.11813901253417405</v>
      </c>
      <c r="X61" s="127" t="str">
        <f t="shared" si="15"/>
        <v/>
      </c>
      <c r="Y61" s="127">
        <f t="shared" si="16"/>
        <v>0.25616131848192369</v>
      </c>
      <c r="Z61" s="154" t="str">
        <f>IFERROR(AVERAGEIF('Daily KPI'!D:D,Table14[[#This Row],[Month]],'Daily KPI'!AB:AB),"")</f>
        <v/>
      </c>
      <c r="AA61" s="150">
        <f>IFERROR(AVERAGEIF($F$2:F61,F61,$Z$2:Z61),"")</f>
        <v>51.832258064516132</v>
      </c>
      <c r="AB61" s="155"/>
      <c r="AC61" s="154">
        <f t="shared" si="23"/>
        <v>7.411120320091455</v>
      </c>
      <c r="AD61" s="154">
        <f>AVERAGEIF($F$2:F61,F61,$AC$2:AC61)</f>
        <v>7.3184021148899676</v>
      </c>
      <c r="AE61" s="127">
        <f t="shared" si="17"/>
        <v>0.96029999999999993</v>
      </c>
      <c r="AF61" s="127">
        <v>0.995</v>
      </c>
      <c r="AG61" s="127"/>
      <c r="AH61" s="127">
        <v>0.97</v>
      </c>
      <c r="AI61" s="127">
        <v>0.99</v>
      </c>
      <c r="AJ61" s="127">
        <v>0.95</v>
      </c>
      <c r="AK61" s="127">
        <v>0.05</v>
      </c>
      <c r="AL61" s="127">
        <v>0.05</v>
      </c>
      <c r="AM61" s="177"/>
      <c r="AN61" s="177"/>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57"/>
  <sheetViews>
    <sheetView zoomScale="96" zoomScaleNormal="96" workbookViewId="0">
      <pane xSplit="7" ySplit="1" topLeftCell="Q949" activePane="bottomRight" state="frozen"/>
      <selection pane="topRight" activeCell="H1" sqref="H1"/>
      <selection pane="bottomLeft" activeCell="A2" sqref="A2"/>
      <selection pane="bottomRight" activeCell="AB960" sqref="AB960"/>
    </sheetView>
  </sheetViews>
  <sheetFormatPr defaultColWidth="7.7109375" defaultRowHeight="15"/>
  <cols>
    <col min="1" max="5" width="7.7109375" style="39"/>
    <col min="6" max="6" width="10.42578125" style="39" customWidth="1"/>
    <col min="7" max="7" width="7.7109375" style="121"/>
    <col min="8" max="9" width="7.7109375" style="39"/>
    <col min="10" max="10" width="10.5703125" style="39" customWidth="1"/>
    <col min="11" max="11" width="8.85546875" style="121" bestFit="1" customWidth="1"/>
    <col min="12" max="12" width="64.42578125" style="39" bestFit="1" customWidth="1"/>
    <col min="13" max="13" width="30.42578125" style="364" bestFit="1" customWidth="1"/>
    <col min="14" max="14" width="11.42578125" style="39" bestFit="1" customWidth="1"/>
    <col min="15" max="17" width="7.7109375" style="121"/>
    <col min="18" max="18" width="7.7109375" style="39"/>
    <col min="19" max="19" width="8.5703125" style="39" customWidth="1"/>
    <col min="20" max="20" width="9.28515625" style="387" customWidth="1"/>
    <col min="21" max="21" width="56.85546875" style="364" customWidth="1"/>
    <col min="22" max="22" width="7.7109375" style="364"/>
    <col min="23" max="23" width="9.5703125" style="355" customWidth="1"/>
    <col min="24" max="24" width="28.85546875" style="353" bestFit="1" customWidth="1"/>
    <col min="25" max="25" width="7.7109375" style="364"/>
    <col min="26" max="26" width="10.42578125" style="121" customWidth="1"/>
    <col min="27" max="27" width="7.7109375" style="121"/>
    <col min="28" max="28" width="39.7109375" style="39" bestFit="1" customWidth="1"/>
    <col min="29" max="29" width="11.42578125" style="39" bestFit="1" customWidth="1"/>
    <col min="30" max="16384" width="7.7109375" style="39"/>
  </cols>
  <sheetData>
    <row r="1" spans="1:30" ht="63" customHeight="1">
      <c r="A1" s="340" t="s">
        <v>7</v>
      </c>
      <c r="B1" s="340" t="s">
        <v>3</v>
      </c>
      <c r="C1" s="340" t="s">
        <v>74</v>
      </c>
      <c r="D1" s="340" t="s">
        <v>440</v>
      </c>
      <c r="E1" s="340" t="s">
        <v>385</v>
      </c>
      <c r="F1" s="342" t="s">
        <v>73</v>
      </c>
      <c r="G1" s="340" t="s">
        <v>441</v>
      </c>
      <c r="H1" s="340" t="s">
        <v>442</v>
      </c>
      <c r="I1" s="340" t="s">
        <v>718</v>
      </c>
      <c r="J1" s="340" t="s">
        <v>444</v>
      </c>
      <c r="K1" s="340" t="s">
        <v>445</v>
      </c>
      <c r="L1" s="340" t="s">
        <v>446</v>
      </c>
      <c r="M1" s="358" t="s">
        <v>447</v>
      </c>
      <c r="N1" s="340" t="s">
        <v>1268</v>
      </c>
      <c r="O1" s="340" t="s">
        <v>448</v>
      </c>
      <c r="P1" s="340" t="s">
        <v>449</v>
      </c>
      <c r="Q1" s="340" t="s">
        <v>450</v>
      </c>
      <c r="R1" s="340" t="s">
        <v>451</v>
      </c>
      <c r="S1" s="340" t="s">
        <v>452</v>
      </c>
      <c r="T1" s="359" t="s">
        <v>453</v>
      </c>
      <c r="U1" s="358" t="s">
        <v>454</v>
      </c>
      <c r="V1" s="358" t="s">
        <v>455</v>
      </c>
      <c r="W1" s="360" t="s">
        <v>456</v>
      </c>
      <c r="X1" s="361" t="s">
        <v>458</v>
      </c>
      <c r="Y1" s="358" t="s">
        <v>457</v>
      </c>
      <c r="Z1" s="362" t="s">
        <v>1272</v>
      </c>
      <c r="AA1" s="362" t="s">
        <v>1273</v>
      </c>
      <c r="AB1" s="362" t="s">
        <v>1274</v>
      </c>
      <c r="AC1" s="362" t="s">
        <v>459</v>
      </c>
      <c r="AD1" s="39" t="s">
        <v>460</v>
      </c>
    </row>
    <row r="2" spans="1:30">
      <c r="A2" s="121">
        <v>1</v>
      </c>
      <c r="B2" s="123">
        <f>YEAR(Table6[[#This Row],[Date]])+IF(MONTH(Table6[[#This Row],[Date]])&gt;=4,1,0)</f>
        <v>2025</v>
      </c>
      <c r="C2" s="121">
        <f>YEAR(Table6[[#This Row],[Date]])</f>
        <v>2025</v>
      </c>
      <c r="D2" s="121" t="s">
        <v>490</v>
      </c>
      <c r="E2" s="135">
        <f>Table6[[#This Row],[Date]]-DAY(Table6[[#This Row],[Date]])+1</f>
        <v>45717</v>
      </c>
      <c r="F2" s="134">
        <v>45745</v>
      </c>
      <c r="G2" s="121" t="s">
        <v>144</v>
      </c>
      <c r="H2" s="39" t="str">
        <f>_xlfn.XLOOKUP(Table6[[#This Row],[Affected WTG]],'Basic Data'!$A:$A,'Basic Data'!$B:$B)</f>
        <v>PWEGPL</v>
      </c>
      <c r="I2" s="39" t="str">
        <f>_xlfn.XLOOKUP(Table6[[#This Row],[Affected WTG]],'Basic Data'!$A:$A,'Basic Data'!$C:$C)</f>
        <v>MSEDCL</v>
      </c>
      <c r="J2" s="363">
        <f>IFERROR(VLOOKUP(Table6[[#This Row],[Affected WTG]],'Basic Data'!$A$3:$E$56,5,0),"")</f>
        <v>2.564102564102564E-2</v>
      </c>
      <c r="K2" s="121" t="s">
        <v>492</v>
      </c>
      <c r="L2" s="39" t="str">
        <f>IFERROR(VLOOKUP(Table6[[#This Row],[Error Code]],'Basic Data'!$T:$U,2,0),"")</f>
        <v>Manual Stop - Safety Related</v>
      </c>
      <c r="M2" s="364" t="s">
        <v>481</v>
      </c>
      <c r="O2" s="365">
        <v>0</v>
      </c>
      <c r="P2" s="365">
        <v>0.99930555555555556</v>
      </c>
      <c r="Q2" s="365">
        <v>0.99930555555555556</v>
      </c>
      <c r="R2" s="366">
        <f>IF(Table6[[#This Row],[Work Start TimeStamp]]="","",(Table6[[#This Row],[Work Start TimeStamp]]-Table6[[#This Row],[Fault Start TimeStamp]])*24)</f>
        <v>23.983333333333334</v>
      </c>
      <c r="S2" s="367">
        <f>(Table6[[#This Row],[Fault Clearance time]]-Table6[[#This Row],[Work Start TimeStamp]])*24</f>
        <v>0</v>
      </c>
      <c r="T2" s="368">
        <f>(Table6[[#This Row],[Fault Clearance time]]-Table6[[#This Row],[Fault Start TimeStamp]])*24</f>
        <v>23.983333333333334</v>
      </c>
      <c r="U2" s="364" t="s">
        <v>498</v>
      </c>
      <c r="V2" s="369" t="s">
        <v>473</v>
      </c>
      <c r="W2" s="354">
        <f>Table6[[#This Row],[Breakdown Time]]*(1/39)</f>
        <v>0.61495726495726499</v>
      </c>
      <c r="X2" s="352" t="s">
        <v>1212</v>
      </c>
      <c r="Y2" s="370" t="s">
        <v>141</v>
      </c>
      <c r="Z2" s="121">
        <v>2420</v>
      </c>
      <c r="AA2" s="123">
        <v>2418.3194444444443</v>
      </c>
      <c r="AB2" s="121" t="s">
        <v>478</v>
      </c>
    </row>
    <row r="3" spans="1:30">
      <c r="A3" s="121">
        <f>A2+1</f>
        <v>2</v>
      </c>
      <c r="B3" s="123">
        <f>YEAR(Table6[[#This Row],[Date]])+IF(MONTH(Table6[[#This Row],[Date]])&gt;=4,1,0)</f>
        <v>2025</v>
      </c>
      <c r="C3" s="121">
        <f>YEAR(Table6[[#This Row],[Date]])</f>
        <v>2025</v>
      </c>
      <c r="D3" s="121" t="s">
        <v>490</v>
      </c>
      <c r="E3" s="135">
        <f>Table6[[#This Row],[Date]]-DAY(Table6[[#This Row],[Date]])+1</f>
        <v>45717</v>
      </c>
      <c r="F3" s="134">
        <v>45745</v>
      </c>
      <c r="G3" s="121" t="s">
        <v>142</v>
      </c>
      <c r="H3" s="39" t="str">
        <f>_xlfn.XLOOKUP(Table6[[#This Row],[Affected WTG]],'Basic Data'!$A:$A,'Basic Data'!$B:$B)</f>
        <v>PWEGPL</v>
      </c>
      <c r="I3" s="39" t="str">
        <f>_xlfn.XLOOKUP(Table6[[#This Row],[Affected WTG]],'Basic Data'!$A:$A,'Basic Data'!$C:$C)</f>
        <v>MSEDCL</v>
      </c>
      <c r="J3" s="363">
        <f>IFERROR(VLOOKUP(Table6[[#This Row],[Affected WTG]],'Basic Data'!$A$3:$E$56,5,0),"")</f>
        <v>2.564102564102564E-2</v>
      </c>
      <c r="K3" s="121" t="s">
        <v>492</v>
      </c>
      <c r="L3" s="39" t="str">
        <f>IFERROR(VLOOKUP(Table6[[#This Row],[Error Code]],'Basic Data'!$T:$U,2,0),"")</f>
        <v>Manual Stop - Safety Related</v>
      </c>
      <c r="M3" s="364" t="s">
        <v>481</v>
      </c>
      <c r="O3" s="365">
        <v>0</v>
      </c>
      <c r="P3" s="365">
        <v>0.99930555555555556</v>
      </c>
      <c r="Q3" s="365">
        <v>0.99930555555555556</v>
      </c>
      <c r="R3" s="366">
        <f>IF(Table6[[#This Row],[Work Start TimeStamp]]="","",(Table6[[#This Row],[Work Start TimeStamp]]-Table6[[#This Row],[Fault Start TimeStamp]])*24)</f>
        <v>23.983333333333334</v>
      </c>
      <c r="S3" s="367">
        <f>(Table6[[#This Row],[Fault Clearance time]]-Table6[[#This Row],[Work Start TimeStamp]])*24</f>
        <v>0</v>
      </c>
      <c r="T3" s="368">
        <f>(Table6[[#This Row],[Fault Clearance time]]-Table6[[#This Row],[Fault Start TimeStamp]])*24</f>
        <v>23.983333333333334</v>
      </c>
      <c r="U3" s="364" t="s">
        <v>498</v>
      </c>
      <c r="V3" s="369" t="s">
        <v>473</v>
      </c>
      <c r="W3" s="354">
        <f>Table6[[#This Row],[Breakdown Time]]*(1/39)</f>
        <v>0.61495726495726499</v>
      </c>
      <c r="X3" s="352" t="s">
        <v>1212</v>
      </c>
      <c r="Y3" s="370" t="s">
        <v>141</v>
      </c>
      <c r="Z3" s="121">
        <v>2420</v>
      </c>
      <c r="AA3" s="123">
        <v>2418.3194444444443</v>
      </c>
      <c r="AB3" s="121" t="s">
        <v>478</v>
      </c>
    </row>
    <row r="4" spans="1:30">
      <c r="A4" s="121">
        <f t="shared" ref="A4:A67" si="0">A3+1</f>
        <v>3</v>
      </c>
      <c r="B4" s="123">
        <f>YEAR(Table6[[#This Row],[Date]])+IF(MONTH(Table6[[#This Row],[Date]])&gt;=4,1,0)</f>
        <v>2025</v>
      </c>
      <c r="C4" s="121">
        <f>YEAR(Table6[[#This Row],[Date]])</f>
        <v>2025</v>
      </c>
      <c r="D4" s="121" t="s">
        <v>490</v>
      </c>
      <c r="E4" s="135">
        <f>Table6[[#This Row],[Date]]-DAY(Table6[[#This Row],[Date]])+1</f>
        <v>45717</v>
      </c>
      <c r="F4" s="134">
        <v>45745</v>
      </c>
      <c r="G4" s="121" t="s">
        <v>118</v>
      </c>
      <c r="H4" s="39" t="str">
        <f>_xlfn.XLOOKUP(Table6[[#This Row],[Affected WTG]],'Basic Data'!$A:$A,'Basic Data'!$B:$B)</f>
        <v>PWEGPL</v>
      </c>
      <c r="I4" s="39" t="str">
        <f>_xlfn.XLOOKUP(Table6[[#This Row],[Affected WTG]],'Basic Data'!$A:$A,'Basic Data'!$C:$C)</f>
        <v>MSEDCL</v>
      </c>
      <c r="J4" s="363">
        <f>IFERROR(VLOOKUP(Table6[[#This Row],[Affected WTG]],'Basic Data'!$A$3:$E$56,5,0),"")</f>
        <v>2.564102564102564E-2</v>
      </c>
      <c r="K4" s="121">
        <v>5200</v>
      </c>
      <c r="L4" s="39" t="str">
        <f>IFERROR(VLOOKUP(Table6[[#This Row],[Error Code]],'Basic Data'!$T:$U,2,0),"")</f>
        <v>Magnetothermic Trigger Of The Line Protection</v>
      </c>
      <c r="M4" s="364" t="s">
        <v>462</v>
      </c>
      <c r="O4" s="365">
        <v>0.67013888888888884</v>
      </c>
      <c r="P4" s="365">
        <v>0.67013888888888884</v>
      </c>
      <c r="Q4" s="365">
        <v>0.67986111111111114</v>
      </c>
      <c r="R4" s="366">
        <f>IF(Table6[[#This Row],[Work Start TimeStamp]]="","",(Table6[[#This Row],[Work Start TimeStamp]]-Table6[[#This Row],[Fault Start TimeStamp]])*24)</f>
        <v>0</v>
      </c>
      <c r="S4" s="367">
        <f>(Table6[[#This Row],[Fault Clearance time]]-Table6[[#This Row],[Work Start TimeStamp]])*24</f>
        <v>0.23333333333333517</v>
      </c>
      <c r="T4" s="368">
        <f>(Table6[[#This Row],[Fault Clearance time]]-Table6[[#This Row],[Fault Start TimeStamp]])*24</f>
        <v>0.23333333333333517</v>
      </c>
      <c r="U4" s="364" t="s">
        <v>493</v>
      </c>
      <c r="V4" s="369" t="s">
        <v>463</v>
      </c>
      <c r="W4" s="354">
        <f>Table6[[#This Row],[Breakdown Time]]*(1/39)</f>
        <v>5.9829059829060302E-3</v>
      </c>
      <c r="X4" s="352" t="s">
        <v>465</v>
      </c>
      <c r="Y4" s="370" t="s">
        <v>117</v>
      </c>
      <c r="Z4" s="121">
        <v>3376</v>
      </c>
      <c r="AA4" s="123">
        <v>32.822222222222479</v>
      </c>
      <c r="AB4" s="121" t="s">
        <v>478</v>
      </c>
    </row>
    <row r="5" spans="1:30">
      <c r="A5" s="121">
        <f t="shared" si="0"/>
        <v>4</v>
      </c>
      <c r="B5" s="123">
        <f>YEAR(Table6[[#This Row],[Date]])+IF(MONTH(Table6[[#This Row],[Date]])&gt;=4,1,0)</f>
        <v>2025</v>
      </c>
      <c r="C5" s="121">
        <f>YEAR(Table6[[#This Row],[Date]])</f>
        <v>2025</v>
      </c>
      <c r="D5" s="121" t="s">
        <v>490</v>
      </c>
      <c r="E5" s="135">
        <f>Table6[[#This Row],[Date]]-DAY(Table6[[#This Row],[Date]])+1</f>
        <v>45717</v>
      </c>
      <c r="F5" s="134">
        <v>45745</v>
      </c>
      <c r="G5" s="121" t="s">
        <v>118</v>
      </c>
      <c r="H5" s="39" t="str">
        <f>_xlfn.XLOOKUP(Table6[[#This Row],[Affected WTG]],'Basic Data'!$A:$A,'Basic Data'!$B:$B)</f>
        <v>PWEGPL</v>
      </c>
      <c r="I5" s="39" t="str">
        <f>_xlfn.XLOOKUP(Table6[[#This Row],[Affected WTG]],'Basic Data'!$A:$A,'Basic Data'!$C:$C)</f>
        <v>MSEDCL</v>
      </c>
      <c r="J5" s="363">
        <f>IFERROR(VLOOKUP(Table6[[#This Row],[Affected WTG]],'Basic Data'!$A$3:$E$56,5,0),"")</f>
        <v>2.564102564102564E-2</v>
      </c>
      <c r="K5" s="121">
        <v>5200</v>
      </c>
      <c r="L5" s="39" t="str">
        <f>IFERROR(VLOOKUP(Table6[[#This Row],[Error Code]],'Basic Data'!$T:$U,2,0),"")</f>
        <v>Magnetothermic Trigger Of The Line Protection</v>
      </c>
      <c r="M5" s="364" t="s">
        <v>462</v>
      </c>
      <c r="O5" s="365">
        <v>0.84791666666666665</v>
      </c>
      <c r="P5" s="365">
        <v>0.84791666666666665</v>
      </c>
      <c r="Q5" s="365">
        <v>0.85138888888888886</v>
      </c>
      <c r="R5" s="366">
        <f>IF(Table6[[#This Row],[Work Start TimeStamp]]="","",(Table6[[#This Row],[Work Start TimeStamp]]-Table6[[#This Row],[Fault Start TimeStamp]])*24)</f>
        <v>0</v>
      </c>
      <c r="S5" s="367">
        <f>(Table6[[#This Row],[Fault Clearance time]]-Table6[[#This Row],[Work Start TimeStamp]])*24</f>
        <v>8.3333333333333037E-2</v>
      </c>
      <c r="T5" s="368">
        <f>(Table6[[#This Row],[Fault Clearance time]]-Table6[[#This Row],[Fault Start TimeStamp]])*24</f>
        <v>8.3333333333333037E-2</v>
      </c>
      <c r="U5" s="364" t="s">
        <v>480</v>
      </c>
      <c r="V5" s="369" t="s">
        <v>463</v>
      </c>
      <c r="W5" s="354">
        <f>Table6[[#This Row],[Breakdown Time]]*(1/39)</f>
        <v>2.1367521367521292E-3</v>
      </c>
      <c r="X5" s="352" t="s">
        <v>465</v>
      </c>
      <c r="Y5" s="370" t="s">
        <v>117</v>
      </c>
      <c r="Z5" s="121">
        <v>3376</v>
      </c>
      <c r="AA5" s="123">
        <v>11.722222222222181</v>
      </c>
      <c r="AB5" s="121" t="s">
        <v>478</v>
      </c>
    </row>
    <row r="6" spans="1:30">
      <c r="A6" s="121">
        <f t="shared" si="0"/>
        <v>5</v>
      </c>
      <c r="B6" s="123">
        <f>YEAR(Table6[[#This Row],[Date]])+IF(MONTH(Table6[[#This Row],[Date]])&gt;=4,1,0)</f>
        <v>2025</v>
      </c>
      <c r="C6" s="121">
        <f>YEAR(Table6[[#This Row],[Date]])</f>
        <v>2025</v>
      </c>
      <c r="D6" s="121" t="s">
        <v>490</v>
      </c>
      <c r="E6" s="135">
        <f>Table6[[#This Row],[Date]]-DAY(Table6[[#This Row],[Date]])+1</f>
        <v>45717</v>
      </c>
      <c r="F6" s="134">
        <v>45745</v>
      </c>
      <c r="G6" s="121" t="s">
        <v>119</v>
      </c>
      <c r="H6" s="39" t="str">
        <f>_xlfn.XLOOKUP(Table6[[#This Row],[Affected WTG]],'Basic Data'!$A:$A,'Basic Data'!$B:$B)</f>
        <v>PWEGPL</v>
      </c>
      <c r="I6" s="39" t="str">
        <f>_xlfn.XLOOKUP(Table6[[#This Row],[Affected WTG]],'Basic Data'!$A:$A,'Basic Data'!$C:$C)</f>
        <v>MSEDCL</v>
      </c>
      <c r="J6" s="363">
        <f>IFERROR(VLOOKUP(Table6[[#This Row],[Affected WTG]],'Basic Data'!$A$3:$E$56,5,0),"")</f>
        <v>2.564102564102564E-2</v>
      </c>
      <c r="K6" s="121">
        <v>5204</v>
      </c>
      <c r="L6" s="39" t="str">
        <f>IFERROR(VLOOKUP(Table6[[#This Row],[Error Code]],'Basic Data'!$T:$U,2,0),"")</f>
        <v>Emergency Series Not OK</v>
      </c>
      <c r="M6" s="364" t="s">
        <v>462</v>
      </c>
      <c r="O6" s="365">
        <v>0.84444444444444444</v>
      </c>
      <c r="P6" s="365">
        <v>0.84444444444444444</v>
      </c>
      <c r="Q6" s="365">
        <v>0.84791666666666665</v>
      </c>
      <c r="R6" s="366">
        <f>IF(Table6[[#This Row],[Work Start TimeStamp]]="","",(Table6[[#This Row],[Work Start TimeStamp]]-Table6[[#This Row],[Fault Start TimeStamp]])*24)</f>
        <v>0</v>
      </c>
      <c r="S6" s="367">
        <f>(Table6[[#This Row],[Fault Clearance time]]-Table6[[#This Row],[Work Start TimeStamp]])*24</f>
        <v>8.3333333333333037E-2</v>
      </c>
      <c r="T6" s="368">
        <f>(Table6[[#This Row],[Fault Clearance time]]-Table6[[#This Row],[Fault Start TimeStamp]])*24</f>
        <v>8.3333333333333037E-2</v>
      </c>
      <c r="U6" s="364" t="s">
        <v>480</v>
      </c>
      <c r="V6" s="369" t="s">
        <v>463</v>
      </c>
      <c r="W6" s="354">
        <f>Table6[[#This Row],[Breakdown Time]]*(1/39)</f>
        <v>2.1367521367521292E-3</v>
      </c>
      <c r="X6" s="352" t="s">
        <v>465</v>
      </c>
      <c r="Y6" s="370" t="s">
        <v>136</v>
      </c>
      <c r="Z6" s="121">
        <v>2780</v>
      </c>
      <c r="AA6" s="123">
        <v>9.652777777777743</v>
      </c>
      <c r="AB6" s="121" t="s">
        <v>478</v>
      </c>
    </row>
    <row r="7" spans="1:30">
      <c r="A7" s="121">
        <f t="shared" si="0"/>
        <v>6</v>
      </c>
      <c r="B7" s="123">
        <f>YEAR(Table6[[#This Row],[Date]])+IF(MONTH(Table6[[#This Row],[Date]])&gt;=4,1,0)</f>
        <v>2025</v>
      </c>
      <c r="C7" s="121">
        <f>YEAR(Table6[[#This Row],[Date]])</f>
        <v>2025</v>
      </c>
      <c r="D7" s="121" t="s">
        <v>490</v>
      </c>
      <c r="E7" s="135">
        <f>Table6[[#This Row],[Date]]-DAY(Table6[[#This Row],[Date]])+1</f>
        <v>45717</v>
      </c>
      <c r="F7" s="134">
        <v>45745</v>
      </c>
      <c r="G7" s="121" t="s">
        <v>120</v>
      </c>
      <c r="H7" s="39" t="str">
        <f>_xlfn.XLOOKUP(Table6[[#This Row],[Affected WTG]],'Basic Data'!$A:$A,'Basic Data'!$B:$B)</f>
        <v>PWEGPL</v>
      </c>
      <c r="I7" s="39" t="str">
        <f>_xlfn.XLOOKUP(Table6[[#This Row],[Affected WTG]],'Basic Data'!$A:$A,'Basic Data'!$C:$C)</f>
        <v>MSEDCL</v>
      </c>
      <c r="J7" s="363">
        <f>IFERROR(VLOOKUP(Table6[[#This Row],[Affected WTG]],'Basic Data'!$A$3:$E$56,5,0),"")</f>
        <v>2.564102564102564E-2</v>
      </c>
      <c r="K7" s="121">
        <v>700</v>
      </c>
      <c r="L7" s="39" t="str">
        <f>IFERROR(VLOOKUP(Table6[[#This Row],[Error Code]],'Basic Data'!$T:$U,2,0),"")</f>
        <v>PLC-Converter Communication Error</v>
      </c>
      <c r="M7" s="364" t="s">
        <v>462</v>
      </c>
      <c r="O7" s="365">
        <v>0.4513888888888889</v>
      </c>
      <c r="P7" s="365">
        <v>0.4861111111111111</v>
      </c>
      <c r="Q7" s="365">
        <v>0.52013888888888893</v>
      </c>
      <c r="R7" s="366">
        <f>IF(Table6[[#This Row],[Work Start TimeStamp]]="","",(Table6[[#This Row],[Work Start TimeStamp]]-Table6[[#This Row],[Fault Start TimeStamp]])*24)</f>
        <v>0.83333333333333304</v>
      </c>
      <c r="S7" s="367">
        <f>(Table6[[#This Row],[Fault Clearance time]]-Table6[[#This Row],[Work Start TimeStamp]])*24</f>
        <v>0.81666666666666776</v>
      </c>
      <c r="T7" s="368">
        <f>(Table6[[#This Row],[Fault Clearance time]]-Table6[[#This Row],[Fault Start TimeStamp]])*24</f>
        <v>1.6500000000000008</v>
      </c>
      <c r="U7" s="364" t="s">
        <v>499</v>
      </c>
      <c r="V7" s="369" t="s">
        <v>463</v>
      </c>
      <c r="W7" s="354">
        <f>Table6[[#This Row],[Breakdown Time]]*(1/39)</f>
        <v>4.2307692307692324E-2</v>
      </c>
      <c r="X7" s="352" t="s">
        <v>465</v>
      </c>
      <c r="Y7" s="370" t="s">
        <v>117</v>
      </c>
      <c r="Z7" s="121">
        <v>3376</v>
      </c>
      <c r="AA7" s="123">
        <v>232.10000000000011</v>
      </c>
      <c r="AB7" s="121" t="s">
        <v>478</v>
      </c>
    </row>
    <row r="8" spans="1:30">
      <c r="A8" s="121">
        <f t="shared" si="0"/>
        <v>7</v>
      </c>
      <c r="B8" s="123">
        <f>YEAR(Table6[[#This Row],[Date]])+IF(MONTH(Table6[[#This Row],[Date]])&gt;=4,1,0)</f>
        <v>2025</v>
      </c>
      <c r="C8" s="121">
        <f>YEAR(Table6[[#This Row],[Date]])</f>
        <v>2025</v>
      </c>
      <c r="D8" s="121" t="s">
        <v>490</v>
      </c>
      <c r="E8" s="135">
        <f>Table6[[#This Row],[Date]]-DAY(Table6[[#This Row],[Date]])+1</f>
        <v>45717</v>
      </c>
      <c r="F8" s="134">
        <v>45745</v>
      </c>
      <c r="G8" s="121" t="s">
        <v>135</v>
      </c>
      <c r="H8" s="39" t="str">
        <f>_xlfn.XLOOKUP(Table6[[#This Row],[Affected WTG]],'Basic Data'!$A:$A,'Basic Data'!$B:$B)</f>
        <v>PWEGPL</v>
      </c>
      <c r="I8" s="39" t="str">
        <f>_xlfn.XLOOKUP(Table6[[#This Row],[Affected WTG]],'Basic Data'!$A:$A,'Basic Data'!$C:$C)</f>
        <v>MSEDCL</v>
      </c>
      <c r="J8" s="363">
        <f>IFERROR(VLOOKUP(Table6[[#This Row],[Affected WTG]],'Basic Data'!$A$3:$E$56,5,0),"")</f>
        <v>2.564102564102564E-2</v>
      </c>
      <c r="K8" s="121">
        <v>202</v>
      </c>
      <c r="L8" s="39" t="str">
        <f>IFERROR(VLOOKUP(Table6[[#This Row],[Error Code]],'Basic Data'!$T:$U,2,0),"")</f>
        <v>Low Pressure On Brake Circuit</v>
      </c>
      <c r="M8" s="364" t="s">
        <v>462</v>
      </c>
      <c r="O8" s="365">
        <v>0.84513888888888888</v>
      </c>
      <c r="P8" s="365">
        <v>0.84513888888888888</v>
      </c>
      <c r="Q8" s="365">
        <v>0.84861111111111109</v>
      </c>
      <c r="R8" s="366">
        <f>IF(Table6[[#This Row],[Work Start TimeStamp]]="","",(Table6[[#This Row],[Work Start TimeStamp]]-Table6[[#This Row],[Fault Start TimeStamp]])*24)</f>
        <v>0</v>
      </c>
      <c r="S8" s="367">
        <f>(Table6[[#This Row],[Fault Clearance time]]-Table6[[#This Row],[Work Start TimeStamp]])*24</f>
        <v>8.3333333333333037E-2</v>
      </c>
      <c r="T8" s="368">
        <f>(Table6[[#This Row],[Fault Clearance time]]-Table6[[#This Row],[Fault Start TimeStamp]])*24</f>
        <v>8.3333333333333037E-2</v>
      </c>
      <c r="U8" s="364" t="s">
        <v>480</v>
      </c>
      <c r="V8" s="369" t="s">
        <v>463</v>
      </c>
      <c r="W8" s="354">
        <f>Table6[[#This Row],[Breakdown Time]]*(1/39)</f>
        <v>2.1367521367521292E-3</v>
      </c>
      <c r="X8" s="352" t="s">
        <v>465</v>
      </c>
      <c r="Y8" s="370" t="s">
        <v>136</v>
      </c>
      <c r="Z8" s="121">
        <v>2780</v>
      </c>
      <c r="AA8" s="123">
        <v>9.652777777777743</v>
      </c>
      <c r="AB8" s="121" t="s">
        <v>478</v>
      </c>
    </row>
    <row r="9" spans="1:30">
      <c r="A9" s="121">
        <f t="shared" si="0"/>
        <v>8</v>
      </c>
      <c r="B9" s="123">
        <f>YEAR(Table6[[#This Row],[Date]])+IF(MONTH(Table6[[#This Row],[Date]])&gt;=4,1,0)</f>
        <v>2025</v>
      </c>
      <c r="C9" s="121">
        <f>YEAR(Table6[[#This Row],[Date]])</f>
        <v>2025</v>
      </c>
      <c r="D9" s="121" t="s">
        <v>490</v>
      </c>
      <c r="E9" s="135">
        <f>Table6[[#This Row],[Date]]-DAY(Table6[[#This Row],[Date]])+1</f>
        <v>45717</v>
      </c>
      <c r="F9" s="134">
        <v>45745</v>
      </c>
      <c r="G9" s="121" t="s">
        <v>136</v>
      </c>
      <c r="H9" s="39" t="str">
        <f>_xlfn.XLOOKUP(Table6[[#This Row],[Affected WTG]],'Basic Data'!$A:$A,'Basic Data'!$B:$B)</f>
        <v>PWEGPL</v>
      </c>
      <c r="I9" s="39" t="str">
        <f>_xlfn.XLOOKUP(Table6[[#This Row],[Affected WTG]],'Basic Data'!$A:$A,'Basic Data'!$C:$C)</f>
        <v>MSEDCL</v>
      </c>
      <c r="J9" s="363">
        <f>IFERROR(VLOOKUP(Table6[[#This Row],[Affected WTG]],'Basic Data'!$A$3:$E$56,5,0),"")</f>
        <v>2.564102564102564E-2</v>
      </c>
      <c r="K9" s="121">
        <v>5201</v>
      </c>
      <c r="L9" s="39" t="str">
        <f>IFERROR(VLOOKUP(Table6[[#This Row],[Error Code]],'Basic Data'!$T:$U,2,0),"")</f>
        <v>Magnetothermic Trigger Of The Stator Protection</v>
      </c>
      <c r="M9" s="364" t="s">
        <v>462</v>
      </c>
      <c r="O9" s="365">
        <v>0.84583333333333333</v>
      </c>
      <c r="P9" s="365">
        <v>0.84583333333333333</v>
      </c>
      <c r="Q9" s="365">
        <v>0.84930555555555554</v>
      </c>
      <c r="R9" s="366">
        <f>IF(Table6[[#This Row],[Work Start TimeStamp]]="","",(Table6[[#This Row],[Work Start TimeStamp]]-Table6[[#This Row],[Fault Start TimeStamp]])*24)</f>
        <v>0</v>
      </c>
      <c r="S9" s="367">
        <f>(Table6[[#This Row],[Fault Clearance time]]-Table6[[#This Row],[Work Start TimeStamp]])*24</f>
        <v>8.3333333333333037E-2</v>
      </c>
      <c r="T9" s="368">
        <f>(Table6[[#This Row],[Fault Clearance time]]-Table6[[#This Row],[Fault Start TimeStamp]])*24</f>
        <v>8.3333333333333037E-2</v>
      </c>
      <c r="U9" s="364" t="s">
        <v>480</v>
      </c>
      <c r="V9" s="369" t="s">
        <v>463</v>
      </c>
      <c r="W9" s="354">
        <f>Table6[[#This Row],[Breakdown Time]]*(1/39)</f>
        <v>2.1367521367521292E-3</v>
      </c>
      <c r="X9" s="352" t="s">
        <v>465</v>
      </c>
      <c r="Y9" s="370" t="s">
        <v>135</v>
      </c>
      <c r="Z9" s="121">
        <v>4216</v>
      </c>
      <c r="AA9" s="123">
        <v>14.638888888888836</v>
      </c>
      <c r="AB9" s="121" t="s">
        <v>478</v>
      </c>
    </row>
    <row r="10" spans="1:30">
      <c r="A10" s="121">
        <f t="shared" si="0"/>
        <v>9</v>
      </c>
      <c r="B10" s="123">
        <f>YEAR(Table6[[#This Row],[Date]])+IF(MONTH(Table6[[#This Row],[Date]])&gt;=4,1,0)</f>
        <v>2025</v>
      </c>
      <c r="C10" s="121">
        <f>YEAR(Table6[[#This Row],[Date]])</f>
        <v>2025</v>
      </c>
      <c r="D10" s="121" t="s">
        <v>490</v>
      </c>
      <c r="E10" s="135">
        <f>Table6[[#This Row],[Date]]-DAY(Table6[[#This Row],[Date]])+1</f>
        <v>45717</v>
      </c>
      <c r="F10" s="134">
        <v>45745</v>
      </c>
      <c r="G10" s="121" t="s">
        <v>146</v>
      </c>
      <c r="H10" s="39" t="str">
        <f>_xlfn.XLOOKUP(Table6[[#This Row],[Affected WTG]],'Basic Data'!$A:$A,'Basic Data'!$B:$B)</f>
        <v>PWEGPL</v>
      </c>
      <c r="I10" s="39" t="str">
        <f>_xlfn.XLOOKUP(Table6[[#This Row],[Affected WTG]],'Basic Data'!$A:$A,'Basic Data'!$C:$C)</f>
        <v>MSEDCL</v>
      </c>
      <c r="J10" s="363">
        <f>IFERROR(VLOOKUP(Table6[[#This Row],[Affected WTG]],'Basic Data'!$A$3:$E$56,5,0),"")</f>
        <v>2.564102564102564E-2</v>
      </c>
      <c r="K10" s="121">
        <v>205</v>
      </c>
      <c r="L10" s="39" t="str">
        <f>IFERROR(VLOOKUP(Table6[[#This Row],[Error Code]],'Basic Data'!$T:$U,2,0),"")</f>
        <v>Low Level Hydraulic Group Refrigeration Oil</v>
      </c>
      <c r="M10" s="364" t="s">
        <v>462</v>
      </c>
      <c r="O10" s="365">
        <v>0.35694444444444445</v>
      </c>
      <c r="P10" s="365">
        <v>0.59305555555555556</v>
      </c>
      <c r="Q10" s="365">
        <v>0.71250000000000002</v>
      </c>
      <c r="R10" s="366">
        <f>IF(Table6[[#This Row],[Work Start TimeStamp]]="","",(Table6[[#This Row],[Work Start TimeStamp]]-Table6[[#This Row],[Fault Start TimeStamp]])*24)</f>
        <v>5.6666666666666661</v>
      </c>
      <c r="S10" s="367">
        <f>(Table6[[#This Row],[Fault Clearance time]]-Table6[[#This Row],[Work Start TimeStamp]])*24</f>
        <v>2.8666666666666671</v>
      </c>
      <c r="T10" s="368">
        <f>(Table6[[#This Row],[Fault Clearance time]]-Table6[[#This Row],[Fault Start TimeStamp]])*24</f>
        <v>8.5333333333333332</v>
      </c>
      <c r="U10" s="364" t="s">
        <v>502</v>
      </c>
      <c r="V10" s="369" t="s">
        <v>463</v>
      </c>
      <c r="W10" s="354">
        <f>Table6[[#This Row],[Breakdown Time]]*(1/39)</f>
        <v>0.2188034188034188</v>
      </c>
      <c r="X10" s="352" t="s">
        <v>465</v>
      </c>
      <c r="Y10" s="370" t="s">
        <v>147</v>
      </c>
      <c r="Z10" s="121">
        <v>2688</v>
      </c>
      <c r="AA10" s="123">
        <v>955.73333333333335</v>
      </c>
      <c r="AB10" s="121" t="s">
        <v>478</v>
      </c>
    </row>
    <row r="11" spans="1:30">
      <c r="A11" s="121">
        <f t="shared" si="0"/>
        <v>10</v>
      </c>
      <c r="B11" s="123">
        <f>YEAR(Table6[[#This Row],[Date]])+IF(MONTH(Table6[[#This Row],[Date]])&gt;=4,1,0)</f>
        <v>2025</v>
      </c>
      <c r="C11" s="121">
        <f>YEAR(Table6[[#This Row],[Date]])</f>
        <v>2025</v>
      </c>
      <c r="D11" s="121" t="s">
        <v>490</v>
      </c>
      <c r="E11" s="135">
        <f>Table6[[#This Row],[Date]]-DAY(Table6[[#This Row],[Date]])+1</f>
        <v>45717</v>
      </c>
      <c r="F11" s="134">
        <v>45745</v>
      </c>
      <c r="G11" s="121" t="s">
        <v>147</v>
      </c>
      <c r="H11" s="39" t="str">
        <f>_xlfn.XLOOKUP(Table6[[#This Row],[Affected WTG]],'Basic Data'!$A:$A,'Basic Data'!$B:$B)</f>
        <v>PWEGPL</v>
      </c>
      <c r="I11" s="39" t="str">
        <f>_xlfn.XLOOKUP(Table6[[#This Row],[Affected WTG]],'Basic Data'!$A:$A,'Basic Data'!$C:$C)</f>
        <v>MSEDCL</v>
      </c>
      <c r="J11" s="363">
        <f>IFERROR(VLOOKUP(Table6[[#This Row],[Affected WTG]],'Basic Data'!$A$3:$E$56,5,0),"")</f>
        <v>2.564102564102564E-2</v>
      </c>
      <c r="K11" s="121">
        <v>5201</v>
      </c>
      <c r="L11" s="39" t="str">
        <f>IFERROR(VLOOKUP(Table6[[#This Row],[Error Code]],'Basic Data'!$T:$U,2,0),"")</f>
        <v>Magnetothermic Trigger Of The Stator Protection</v>
      </c>
      <c r="M11" s="364" t="s">
        <v>462</v>
      </c>
      <c r="O11" s="365">
        <v>0.37708333333333333</v>
      </c>
      <c r="P11" s="365">
        <v>0.37708333333333333</v>
      </c>
      <c r="Q11" s="365">
        <v>0.38055555555555554</v>
      </c>
      <c r="R11" s="366">
        <f>IF(Table6[[#This Row],[Work Start TimeStamp]]="","",(Table6[[#This Row],[Work Start TimeStamp]]-Table6[[#This Row],[Fault Start TimeStamp]])*24)</f>
        <v>0</v>
      </c>
      <c r="S11" s="367">
        <f>(Table6[[#This Row],[Fault Clearance time]]-Table6[[#This Row],[Work Start TimeStamp]])*24</f>
        <v>8.3333333333333037E-2</v>
      </c>
      <c r="T11" s="368">
        <f>(Table6[[#This Row],[Fault Clearance time]]-Table6[[#This Row],[Fault Start TimeStamp]])*24</f>
        <v>8.3333333333333037E-2</v>
      </c>
      <c r="U11" s="364" t="s">
        <v>480</v>
      </c>
      <c r="V11" s="369" t="s">
        <v>463</v>
      </c>
      <c r="W11" s="354">
        <f>Table6[[#This Row],[Breakdown Time]]*(1/39)</f>
        <v>2.1367521367521292E-3</v>
      </c>
      <c r="X11" s="352" t="s">
        <v>465</v>
      </c>
      <c r="Y11" s="370" t="s">
        <v>148</v>
      </c>
      <c r="Z11" s="121">
        <v>2976</v>
      </c>
      <c r="AA11" s="123">
        <v>10.333333333333297</v>
      </c>
      <c r="AB11" s="121" t="s">
        <v>478</v>
      </c>
    </row>
    <row r="12" spans="1:30">
      <c r="A12" s="121">
        <f t="shared" si="0"/>
        <v>11</v>
      </c>
      <c r="B12" s="123">
        <f>YEAR(Table6[[#This Row],[Date]])+IF(MONTH(Table6[[#This Row],[Date]])&gt;=4,1,0)</f>
        <v>2025</v>
      </c>
      <c r="C12" s="121">
        <f>YEAR(Table6[[#This Row],[Date]])</f>
        <v>2025</v>
      </c>
      <c r="D12" s="121" t="s">
        <v>490</v>
      </c>
      <c r="E12" s="135">
        <f>Table6[[#This Row],[Date]]-DAY(Table6[[#This Row],[Date]])+1</f>
        <v>45717</v>
      </c>
      <c r="F12" s="134">
        <v>45745</v>
      </c>
      <c r="G12" s="121" t="s">
        <v>147</v>
      </c>
      <c r="H12" s="39" t="str">
        <f>_xlfn.XLOOKUP(Table6[[#This Row],[Affected WTG]],'Basic Data'!$A:$A,'Basic Data'!$B:$B)</f>
        <v>PWEGPL</v>
      </c>
      <c r="I12" s="39" t="str">
        <f>_xlfn.XLOOKUP(Table6[[#This Row],[Affected WTG]],'Basic Data'!$A:$A,'Basic Data'!$C:$C)</f>
        <v>MSEDCL</v>
      </c>
      <c r="J12" s="363">
        <f>IFERROR(VLOOKUP(Table6[[#This Row],[Affected WTG]],'Basic Data'!$A$3:$E$56,5,0),"")</f>
        <v>2.564102564102564E-2</v>
      </c>
      <c r="K12" s="121">
        <v>5200</v>
      </c>
      <c r="L12" s="39" t="str">
        <f>IFERROR(VLOOKUP(Table6[[#This Row],[Error Code]],'Basic Data'!$T:$U,2,0),"")</f>
        <v>Magnetothermic Trigger Of The Line Protection</v>
      </c>
      <c r="M12" s="364" t="s">
        <v>462</v>
      </c>
      <c r="O12" s="365">
        <v>0.72638888888888886</v>
      </c>
      <c r="P12" s="365">
        <v>0.72638888888888886</v>
      </c>
      <c r="Q12" s="365">
        <v>0.73263888888888884</v>
      </c>
      <c r="R12" s="366">
        <f>IF(Table6[[#This Row],[Work Start TimeStamp]]="","",(Table6[[#This Row],[Work Start TimeStamp]]-Table6[[#This Row],[Fault Start TimeStamp]])*24)</f>
        <v>0</v>
      </c>
      <c r="S12" s="367">
        <f>(Table6[[#This Row],[Fault Clearance time]]-Table6[[#This Row],[Work Start TimeStamp]])*24</f>
        <v>0.14999999999999947</v>
      </c>
      <c r="T12" s="368">
        <f>(Table6[[#This Row],[Fault Clearance time]]-Table6[[#This Row],[Fault Start TimeStamp]])*24</f>
        <v>0.14999999999999947</v>
      </c>
      <c r="U12" s="364" t="s">
        <v>493</v>
      </c>
      <c r="V12" s="369" t="s">
        <v>463</v>
      </c>
      <c r="W12" s="354">
        <f>Table6[[#This Row],[Breakdown Time]]*(1/39)</f>
        <v>3.8461538461538325E-3</v>
      </c>
      <c r="X12" s="352" t="s">
        <v>465</v>
      </c>
      <c r="Y12" s="370" t="s">
        <v>148</v>
      </c>
      <c r="Z12" s="121">
        <v>2976</v>
      </c>
      <c r="AA12" s="123">
        <v>18.599999999999934</v>
      </c>
      <c r="AB12" s="121" t="s">
        <v>478</v>
      </c>
    </row>
    <row r="13" spans="1:30">
      <c r="A13" s="121">
        <f t="shared" si="0"/>
        <v>12</v>
      </c>
      <c r="B13" s="123">
        <f>YEAR(Table6[[#This Row],[Date]])+IF(MONTH(Table6[[#This Row],[Date]])&gt;=4,1,0)</f>
        <v>2025</v>
      </c>
      <c r="C13" s="121">
        <f>YEAR(Table6[[#This Row],[Date]])</f>
        <v>2025</v>
      </c>
      <c r="D13" s="121" t="s">
        <v>490</v>
      </c>
      <c r="E13" s="135">
        <f>Table6[[#This Row],[Date]]-DAY(Table6[[#This Row],[Date]])+1</f>
        <v>45717</v>
      </c>
      <c r="F13" s="134">
        <v>45745</v>
      </c>
      <c r="G13" s="121" t="s">
        <v>149</v>
      </c>
      <c r="H13" s="39" t="str">
        <f>_xlfn.XLOOKUP(Table6[[#This Row],[Affected WTG]],'Basic Data'!$A:$A,'Basic Data'!$B:$B)</f>
        <v>PWEGPL</v>
      </c>
      <c r="I13" s="39" t="str">
        <f>_xlfn.XLOOKUP(Table6[[#This Row],[Affected WTG]],'Basic Data'!$A:$A,'Basic Data'!$C:$C)</f>
        <v>MSEDCL</v>
      </c>
      <c r="J13" s="363">
        <f>IFERROR(VLOOKUP(Table6[[#This Row],[Affected WTG]],'Basic Data'!$A$3:$E$56,5,0),"")</f>
        <v>2.564102564102564E-2</v>
      </c>
      <c r="K13" s="121">
        <v>812</v>
      </c>
      <c r="L13" s="39" t="str">
        <f>IFERROR(VLOOKUP(Table6[[#This Row],[Error Code]],'Basic Data'!$T:$U,2,0),"")</f>
        <v>Blade Position Meas. Error</v>
      </c>
      <c r="M13" s="364" t="s">
        <v>462</v>
      </c>
      <c r="O13" s="365">
        <v>0.38541666666666669</v>
      </c>
      <c r="P13" s="365">
        <v>0.38541666666666669</v>
      </c>
      <c r="Q13" s="365">
        <v>0.3888888888888889</v>
      </c>
      <c r="R13" s="366">
        <f>IF(Table6[[#This Row],[Work Start TimeStamp]]="","",(Table6[[#This Row],[Work Start TimeStamp]]-Table6[[#This Row],[Fault Start TimeStamp]])*24)</f>
        <v>0</v>
      </c>
      <c r="S13" s="367">
        <f>(Table6[[#This Row],[Fault Clearance time]]-Table6[[#This Row],[Work Start TimeStamp]])*24</f>
        <v>8.3333333333333037E-2</v>
      </c>
      <c r="T13" s="368">
        <f>(Table6[[#This Row],[Fault Clearance time]]-Table6[[#This Row],[Fault Start TimeStamp]])*24</f>
        <v>8.3333333333333037E-2</v>
      </c>
      <c r="U13" s="364" t="s">
        <v>480</v>
      </c>
      <c r="V13" s="369" t="s">
        <v>463</v>
      </c>
      <c r="W13" s="354">
        <f>Table6[[#This Row],[Breakdown Time]]*(1/39)</f>
        <v>2.1367521367521292E-3</v>
      </c>
      <c r="X13" s="352" t="s">
        <v>465</v>
      </c>
      <c r="Y13" s="370" t="s">
        <v>150</v>
      </c>
      <c r="Z13" s="121">
        <v>2818</v>
      </c>
      <c r="AA13" s="123">
        <v>9.7847222222221877</v>
      </c>
      <c r="AB13" s="121" t="s">
        <v>478</v>
      </c>
    </row>
    <row r="14" spans="1:30">
      <c r="A14" s="121">
        <f t="shared" si="0"/>
        <v>13</v>
      </c>
      <c r="B14" s="123">
        <f>YEAR(Table6[[#This Row],[Date]])+IF(MONTH(Table6[[#This Row],[Date]])&gt;=4,1,0)</f>
        <v>2025</v>
      </c>
      <c r="C14" s="121">
        <f>YEAR(Table6[[#This Row],[Date]])</f>
        <v>2025</v>
      </c>
      <c r="D14" s="121" t="s">
        <v>490</v>
      </c>
      <c r="E14" s="135">
        <f>Table6[[#This Row],[Date]]-DAY(Table6[[#This Row],[Date]])+1</f>
        <v>45717</v>
      </c>
      <c r="F14" s="134">
        <v>45745</v>
      </c>
      <c r="G14" s="121" t="s">
        <v>149</v>
      </c>
      <c r="H14" s="39" t="str">
        <f>_xlfn.XLOOKUP(Table6[[#This Row],[Affected WTG]],'Basic Data'!$A:$A,'Basic Data'!$B:$B)</f>
        <v>PWEGPL</v>
      </c>
      <c r="I14" s="39" t="str">
        <f>_xlfn.XLOOKUP(Table6[[#This Row],[Affected WTG]],'Basic Data'!$A:$A,'Basic Data'!$C:$C)</f>
        <v>MSEDCL</v>
      </c>
      <c r="J14" s="363">
        <f>IFERROR(VLOOKUP(Table6[[#This Row],[Affected WTG]],'Basic Data'!$A$3:$E$56,5,0),"")</f>
        <v>2.564102564102564E-2</v>
      </c>
      <c r="K14" s="121">
        <v>812</v>
      </c>
      <c r="L14" s="39" t="str">
        <f>IFERROR(VLOOKUP(Table6[[#This Row],[Error Code]],'Basic Data'!$T:$U,2,0),"")</f>
        <v>Blade Position Meas. Error</v>
      </c>
      <c r="M14" s="364" t="s">
        <v>462</v>
      </c>
      <c r="O14" s="365">
        <v>0.42777777777777776</v>
      </c>
      <c r="P14" s="365">
        <v>0.42777777777777776</v>
      </c>
      <c r="Q14" s="365">
        <v>0.43125000000000002</v>
      </c>
      <c r="R14" s="366">
        <f>IF(Table6[[#This Row],[Work Start TimeStamp]]="","",(Table6[[#This Row],[Work Start TimeStamp]]-Table6[[#This Row],[Fault Start TimeStamp]])*24)</f>
        <v>0</v>
      </c>
      <c r="S14" s="367">
        <f>(Table6[[#This Row],[Fault Clearance time]]-Table6[[#This Row],[Work Start TimeStamp]])*24</f>
        <v>8.333333333333437E-2</v>
      </c>
      <c r="T14" s="368">
        <f>(Table6[[#This Row],[Fault Clearance time]]-Table6[[#This Row],[Fault Start TimeStamp]])*24</f>
        <v>8.333333333333437E-2</v>
      </c>
      <c r="U14" s="364" t="s">
        <v>480</v>
      </c>
      <c r="V14" s="369" t="s">
        <v>463</v>
      </c>
      <c r="W14" s="354">
        <f>Table6[[#This Row],[Breakdown Time]]*(1/39)</f>
        <v>2.1367521367521634E-3</v>
      </c>
      <c r="X14" s="352" t="s">
        <v>465</v>
      </c>
      <c r="Y14" s="370" t="s">
        <v>150</v>
      </c>
      <c r="Z14" s="121">
        <v>2818</v>
      </c>
      <c r="AA14" s="123">
        <v>9.784722222222344</v>
      </c>
      <c r="AB14" s="121" t="s">
        <v>478</v>
      </c>
    </row>
    <row r="15" spans="1:30">
      <c r="A15" s="121">
        <f t="shared" si="0"/>
        <v>14</v>
      </c>
      <c r="B15" s="123">
        <f>YEAR(Table6[[#This Row],[Date]])+IF(MONTH(Table6[[#This Row],[Date]])&gt;=4,1,0)</f>
        <v>2025</v>
      </c>
      <c r="C15" s="121">
        <f>YEAR(Table6[[#This Row],[Date]])</f>
        <v>2025</v>
      </c>
      <c r="D15" s="121" t="s">
        <v>490</v>
      </c>
      <c r="E15" s="135">
        <f>Table6[[#This Row],[Date]]-DAY(Table6[[#This Row],[Date]])+1</f>
        <v>45717</v>
      </c>
      <c r="F15" s="134">
        <v>45745</v>
      </c>
      <c r="G15" s="121" t="s">
        <v>149</v>
      </c>
      <c r="H15" s="39" t="str">
        <f>_xlfn.XLOOKUP(Table6[[#This Row],[Affected WTG]],'Basic Data'!$A:$A,'Basic Data'!$B:$B)</f>
        <v>PWEGPL</v>
      </c>
      <c r="I15" s="39" t="str">
        <f>_xlfn.XLOOKUP(Table6[[#This Row],[Affected WTG]],'Basic Data'!$A:$A,'Basic Data'!$C:$C)</f>
        <v>MSEDCL</v>
      </c>
      <c r="J15" s="363">
        <f>IFERROR(VLOOKUP(Table6[[#This Row],[Affected WTG]],'Basic Data'!$A$3:$E$56,5,0),"")</f>
        <v>2.564102564102564E-2</v>
      </c>
      <c r="K15" s="121">
        <v>812</v>
      </c>
      <c r="L15" s="39" t="str">
        <f>IFERROR(VLOOKUP(Table6[[#This Row],[Error Code]],'Basic Data'!$T:$U,2,0),"")</f>
        <v>Blade Position Meas. Error</v>
      </c>
      <c r="M15" s="364" t="s">
        <v>462</v>
      </c>
      <c r="O15" s="365">
        <v>0.45416666666666666</v>
      </c>
      <c r="P15" s="365">
        <v>0.45416666666666666</v>
      </c>
      <c r="Q15" s="365">
        <v>0.45763888888888887</v>
      </c>
      <c r="R15" s="366">
        <f>IF(Table6[[#This Row],[Work Start TimeStamp]]="","",(Table6[[#This Row],[Work Start TimeStamp]]-Table6[[#This Row],[Fault Start TimeStamp]])*24)</f>
        <v>0</v>
      </c>
      <c r="S15" s="367">
        <f>(Table6[[#This Row],[Fault Clearance time]]-Table6[[#This Row],[Work Start TimeStamp]])*24</f>
        <v>8.3333333333333037E-2</v>
      </c>
      <c r="T15" s="368">
        <f>(Table6[[#This Row],[Fault Clearance time]]-Table6[[#This Row],[Fault Start TimeStamp]])*24</f>
        <v>8.3333333333333037E-2</v>
      </c>
      <c r="U15" s="364" t="s">
        <v>480</v>
      </c>
      <c r="V15" s="369" t="s">
        <v>463</v>
      </c>
      <c r="W15" s="354">
        <f>Table6[[#This Row],[Breakdown Time]]*(1/39)</f>
        <v>2.1367521367521292E-3</v>
      </c>
      <c r="X15" s="352" t="s">
        <v>465</v>
      </c>
      <c r="Y15" s="370" t="s">
        <v>150</v>
      </c>
      <c r="Z15" s="121">
        <v>2818</v>
      </c>
      <c r="AA15" s="123">
        <v>9.7847222222221877</v>
      </c>
      <c r="AB15" s="121" t="s">
        <v>478</v>
      </c>
    </row>
    <row r="16" spans="1:30">
      <c r="A16" s="121">
        <f t="shared" si="0"/>
        <v>15</v>
      </c>
      <c r="B16" s="123">
        <f>YEAR(Table6[[#This Row],[Date]])+IF(MONTH(Table6[[#This Row],[Date]])&gt;=4,1,0)</f>
        <v>2025</v>
      </c>
      <c r="C16" s="121">
        <f>YEAR(Table6[[#This Row],[Date]])</f>
        <v>2025</v>
      </c>
      <c r="D16" s="121" t="s">
        <v>490</v>
      </c>
      <c r="E16" s="135">
        <f>Table6[[#This Row],[Date]]-DAY(Table6[[#This Row],[Date]])+1</f>
        <v>45717</v>
      </c>
      <c r="F16" s="134">
        <v>45745</v>
      </c>
      <c r="G16" s="121" t="s">
        <v>149</v>
      </c>
      <c r="H16" s="39" t="str">
        <f>_xlfn.XLOOKUP(Table6[[#This Row],[Affected WTG]],'Basic Data'!$A:$A,'Basic Data'!$B:$B)</f>
        <v>PWEGPL</v>
      </c>
      <c r="I16" s="39" t="str">
        <f>_xlfn.XLOOKUP(Table6[[#This Row],[Affected WTG]],'Basic Data'!$A:$A,'Basic Data'!$C:$C)</f>
        <v>MSEDCL</v>
      </c>
      <c r="J16" s="363">
        <f>IFERROR(VLOOKUP(Table6[[#This Row],[Affected WTG]],'Basic Data'!$A$3:$E$56,5,0),"")</f>
        <v>2.564102564102564E-2</v>
      </c>
      <c r="K16" s="121">
        <v>812</v>
      </c>
      <c r="L16" s="39" t="str">
        <f>IFERROR(VLOOKUP(Table6[[#This Row],[Error Code]],'Basic Data'!$T:$U,2,0),"")</f>
        <v>Blade Position Meas. Error</v>
      </c>
      <c r="M16" s="364" t="s">
        <v>462</v>
      </c>
      <c r="O16" s="365">
        <v>0.48888888888888887</v>
      </c>
      <c r="P16" s="365">
        <v>0.48888888888888887</v>
      </c>
      <c r="Q16" s="365">
        <v>0.56180555555555556</v>
      </c>
      <c r="R16" s="366">
        <f>IF(Table6[[#This Row],[Work Start TimeStamp]]="","",(Table6[[#This Row],[Work Start TimeStamp]]-Table6[[#This Row],[Fault Start TimeStamp]])*24)</f>
        <v>0</v>
      </c>
      <c r="S16" s="367">
        <f>(Table6[[#This Row],[Fault Clearance time]]-Table6[[#This Row],[Work Start TimeStamp]])*24</f>
        <v>1.7500000000000004</v>
      </c>
      <c r="T16" s="368">
        <f>(Table6[[#This Row],[Fault Clearance time]]-Table6[[#This Row],[Fault Start TimeStamp]])*24</f>
        <v>1.7500000000000004</v>
      </c>
      <c r="U16" s="364" t="s">
        <v>493</v>
      </c>
      <c r="V16" s="369" t="s">
        <v>463</v>
      </c>
      <c r="W16" s="354">
        <f>Table6[[#This Row],[Breakdown Time]]*(1/39)</f>
        <v>4.4871794871794879E-2</v>
      </c>
      <c r="X16" s="352" t="s">
        <v>465</v>
      </c>
      <c r="Y16" s="370" t="s">
        <v>150</v>
      </c>
      <c r="Z16" s="121">
        <v>2818</v>
      </c>
      <c r="AA16" s="123">
        <v>205.47916666666671</v>
      </c>
      <c r="AB16" s="121" t="s">
        <v>478</v>
      </c>
    </row>
    <row r="17" spans="1:28">
      <c r="A17" s="121">
        <f t="shared" si="0"/>
        <v>16</v>
      </c>
      <c r="B17" s="123">
        <f>YEAR(Table6[[#This Row],[Date]])+IF(MONTH(Table6[[#This Row],[Date]])&gt;=4,1,0)</f>
        <v>2025</v>
      </c>
      <c r="C17" s="121">
        <f>YEAR(Table6[[#This Row],[Date]])</f>
        <v>2025</v>
      </c>
      <c r="D17" s="121" t="s">
        <v>490</v>
      </c>
      <c r="E17" s="135">
        <f>Table6[[#This Row],[Date]]-DAY(Table6[[#This Row],[Date]])+1</f>
        <v>45717</v>
      </c>
      <c r="F17" s="134">
        <v>45745</v>
      </c>
      <c r="G17" s="121" t="s">
        <v>149</v>
      </c>
      <c r="H17" s="39" t="str">
        <f>_xlfn.XLOOKUP(Table6[[#This Row],[Affected WTG]],'Basic Data'!$A:$A,'Basic Data'!$B:$B)</f>
        <v>PWEGPL</v>
      </c>
      <c r="I17" s="39" t="str">
        <f>_xlfn.XLOOKUP(Table6[[#This Row],[Affected WTG]],'Basic Data'!$A:$A,'Basic Data'!$C:$C)</f>
        <v>MSEDCL</v>
      </c>
      <c r="J17" s="363">
        <f>IFERROR(VLOOKUP(Table6[[#This Row],[Affected WTG]],'Basic Data'!$A$3:$E$56,5,0),"")</f>
        <v>2.564102564102564E-2</v>
      </c>
      <c r="K17" s="121">
        <v>812</v>
      </c>
      <c r="L17" s="39" t="str">
        <f>IFERROR(VLOOKUP(Table6[[#This Row],[Error Code]],'Basic Data'!$T:$U,2,0),"")</f>
        <v>Blade Position Meas. Error</v>
      </c>
      <c r="M17" s="364" t="s">
        <v>462</v>
      </c>
      <c r="O17" s="365">
        <v>0.62777777777777777</v>
      </c>
      <c r="P17" s="365">
        <v>0.64444444444444449</v>
      </c>
      <c r="Q17" s="365">
        <v>0.73819444444444449</v>
      </c>
      <c r="R17" s="366">
        <f>IF(Table6[[#This Row],[Work Start TimeStamp]]="","",(Table6[[#This Row],[Work Start TimeStamp]]-Table6[[#This Row],[Fault Start TimeStamp]])*24)</f>
        <v>0.40000000000000124</v>
      </c>
      <c r="S17" s="367">
        <f>(Table6[[#This Row],[Fault Clearance time]]-Table6[[#This Row],[Work Start TimeStamp]])*24</f>
        <v>2.25</v>
      </c>
      <c r="T17" s="368">
        <f>(Table6[[#This Row],[Fault Clearance time]]-Table6[[#This Row],[Fault Start TimeStamp]])*24</f>
        <v>2.6500000000000012</v>
      </c>
      <c r="U17" s="364" t="s">
        <v>511</v>
      </c>
      <c r="V17" s="369" t="s">
        <v>463</v>
      </c>
      <c r="W17" s="354">
        <f>Table6[[#This Row],[Breakdown Time]]*(1/39)</f>
        <v>6.7948717948717985E-2</v>
      </c>
      <c r="X17" s="352" t="s">
        <v>465</v>
      </c>
      <c r="Y17" s="370" t="s">
        <v>150</v>
      </c>
      <c r="Z17" s="121">
        <v>2818</v>
      </c>
      <c r="AA17" s="123">
        <v>311.15416666666681</v>
      </c>
      <c r="AB17" s="121" t="s">
        <v>478</v>
      </c>
    </row>
    <row r="18" spans="1:28">
      <c r="A18" s="121">
        <f t="shared" si="0"/>
        <v>17</v>
      </c>
      <c r="B18" s="123">
        <f>YEAR(Table6[[#This Row],[Date]])+IF(MONTH(Table6[[#This Row],[Date]])&gt;=4,1,0)</f>
        <v>2025</v>
      </c>
      <c r="C18" s="121">
        <f>YEAR(Table6[[#This Row],[Date]])</f>
        <v>2025</v>
      </c>
      <c r="D18" s="121" t="s">
        <v>490</v>
      </c>
      <c r="E18" s="135">
        <f>Table6[[#This Row],[Date]]-DAY(Table6[[#This Row],[Date]])+1</f>
        <v>45717</v>
      </c>
      <c r="F18" s="134">
        <v>45746</v>
      </c>
      <c r="G18" s="121" t="s">
        <v>144</v>
      </c>
      <c r="H18" s="39" t="str">
        <f>_xlfn.XLOOKUP(Table6[[#This Row],[Affected WTG]],'Basic Data'!$A:$A,'Basic Data'!$B:$B)</f>
        <v>PWEGPL</v>
      </c>
      <c r="I18" s="39" t="str">
        <f>_xlfn.XLOOKUP(Table6[[#This Row],[Affected WTG]],'Basic Data'!$A:$A,'Basic Data'!$C:$C)</f>
        <v>MSEDCL</v>
      </c>
      <c r="J18" s="363">
        <f>IFERROR(VLOOKUP(Table6[[#This Row],[Affected WTG]],'Basic Data'!$A$3:$E$56,5,0),"")</f>
        <v>2.564102564102564E-2</v>
      </c>
      <c r="K18" s="121" t="s">
        <v>492</v>
      </c>
      <c r="L18" s="39" t="str">
        <f>IFERROR(VLOOKUP(Table6[[#This Row],[Error Code]],'Basic Data'!$T:$U,2,0),"")</f>
        <v>Manual Stop - Safety Related</v>
      </c>
      <c r="M18" s="364" t="s">
        <v>481</v>
      </c>
      <c r="O18" s="365">
        <v>0</v>
      </c>
      <c r="P18" s="365">
        <v>0.99930555555555556</v>
      </c>
      <c r="Q18" s="365">
        <v>0.99930555555555556</v>
      </c>
      <c r="R18" s="366">
        <f>IF(Table6[[#This Row],[Work Start TimeStamp]]="","",(Table6[[#This Row],[Work Start TimeStamp]]-Table6[[#This Row],[Fault Start TimeStamp]])*24)</f>
        <v>23.983333333333334</v>
      </c>
      <c r="S18" s="367">
        <f>(Table6[[#This Row],[Fault Clearance time]]-Table6[[#This Row],[Work Start TimeStamp]])*24</f>
        <v>0</v>
      </c>
      <c r="T18" s="368">
        <f>(Table6[[#This Row],[Fault Clearance time]]-Table6[[#This Row],[Fault Start TimeStamp]])*24</f>
        <v>23.983333333333334</v>
      </c>
      <c r="U18" s="364" t="s">
        <v>498</v>
      </c>
      <c r="V18" s="369" t="s">
        <v>473</v>
      </c>
      <c r="W18" s="354">
        <f>Table6[[#This Row],[Breakdown Time]]*(1/39)</f>
        <v>0.61495726495726499</v>
      </c>
      <c r="X18" s="352" t="s">
        <v>1212</v>
      </c>
      <c r="Y18" s="370" t="s">
        <v>141</v>
      </c>
      <c r="Z18" s="121">
        <v>1552</v>
      </c>
      <c r="AA18" s="123">
        <v>1550.9222222222224</v>
      </c>
      <c r="AB18" s="121" t="s">
        <v>478</v>
      </c>
    </row>
    <row r="19" spans="1:28">
      <c r="A19" s="121">
        <f t="shared" si="0"/>
        <v>18</v>
      </c>
      <c r="B19" s="123">
        <f>YEAR(Table6[[#This Row],[Date]])+IF(MONTH(Table6[[#This Row],[Date]])&gt;=4,1,0)</f>
        <v>2025</v>
      </c>
      <c r="C19" s="121">
        <f>YEAR(Table6[[#This Row],[Date]])</f>
        <v>2025</v>
      </c>
      <c r="D19" s="121" t="s">
        <v>490</v>
      </c>
      <c r="E19" s="135">
        <f>Table6[[#This Row],[Date]]-DAY(Table6[[#This Row],[Date]])+1</f>
        <v>45717</v>
      </c>
      <c r="F19" s="134">
        <v>45746</v>
      </c>
      <c r="G19" s="121" t="s">
        <v>142</v>
      </c>
      <c r="H19" s="39" t="str">
        <f>_xlfn.XLOOKUP(Table6[[#This Row],[Affected WTG]],'Basic Data'!$A:$A,'Basic Data'!$B:$B)</f>
        <v>PWEGPL</v>
      </c>
      <c r="I19" s="39" t="str">
        <f>_xlfn.XLOOKUP(Table6[[#This Row],[Affected WTG]],'Basic Data'!$A:$A,'Basic Data'!$C:$C)</f>
        <v>MSEDCL</v>
      </c>
      <c r="J19" s="363">
        <f>IFERROR(VLOOKUP(Table6[[#This Row],[Affected WTG]],'Basic Data'!$A$3:$E$56,5,0),"")</f>
        <v>2.564102564102564E-2</v>
      </c>
      <c r="K19" s="121" t="s">
        <v>492</v>
      </c>
      <c r="L19" s="39" t="str">
        <f>IFERROR(VLOOKUP(Table6[[#This Row],[Error Code]],'Basic Data'!$T:$U,2,0),"")</f>
        <v>Manual Stop - Safety Related</v>
      </c>
      <c r="M19" s="364" t="s">
        <v>481</v>
      </c>
      <c r="O19" s="365">
        <v>0</v>
      </c>
      <c r="P19" s="365">
        <v>0.99930555555555556</v>
      </c>
      <c r="Q19" s="365">
        <v>0.99930555555555556</v>
      </c>
      <c r="R19" s="366">
        <f>IF(Table6[[#This Row],[Work Start TimeStamp]]="","",(Table6[[#This Row],[Work Start TimeStamp]]-Table6[[#This Row],[Fault Start TimeStamp]])*24)</f>
        <v>23.983333333333334</v>
      </c>
      <c r="S19" s="367">
        <f>(Table6[[#This Row],[Fault Clearance time]]-Table6[[#This Row],[Work Start TimeStamp]])*24</f>
        <v>0</v>
      </c>
      <c r="T19" s="368">
        <f>(Table6[[#This Row],[Fault Clearance time]]-Table6[[#This Row],[Fault Start TimeStamp]])*24</f>
        <v>23.983333333333334</v>
      </c>
      <c r="U19" s="364" t="s">
        <v>498</v>
      </c>
      <c r="V19" s="369" t="s">
        <v>473</v>
      </c>
      <c r="W19" s="354">
        <f>Table6[[#This Row],[Breakdown Time]]*(1/39)</f>
        <v>0.61495726495726499</v>
      </c>
      <c r="X19" s="352" t="s">
        <v>1212</v>
      </c>
      <c r="Y19" s="370" t="s">
        <v>141</v>
      </c>
      <c r="Z19" s="121">
        <v>1552</v>
      </c>
      <c r="AA19" s="123">
        <v>1550.9222222222224</v>
      </c>
      <c r="AB19" s="121" t="s">
        <v>478</v>
      </c>
    </row>
    <row r="20" spans="1:28">
      <c r="A20" s="121">
        <f t="shared" si="0"/>
        <v>19</v>
      </c>
      <c r="B20" s="123">
        <f>YEAR(Table6[[#This Row],[Date]])+IF(MONTH(Table6[[#This Row],[Date]])&gt;=4,1,0)</f>
        <v>2025</v>
      </c>
      <c r="C20" s="121">
        <f>YEAR(Table6[[#This Row],[Date]])</f>
        <v>2025</v>
      </c>
      <c r="D20" s="121" t="s">
        <v>490</v>
      </c>
      <c r="E20" s="135">
        <f>Table6[[#This Row],[Date]]-DAY(Table6[[#This Row],[Date]])+1</f>
        <v>45717</v>
      </c>
      <c r="F20" s="134">
        <v>45746</v>
      </c>
      <c r="G20" s="121" t="s">
        <v>115</v>
      </c>
      <c r="H20" s="39" t="str">
        <f>_xlfn.XLOOKUP(Table6[[#This Row],[Affected WTG]],'Basic Data'!$A:$A,'Basic Data'!$B:$B)</f>
        <v>PWEGPL</v>
      </c>
      <c r="I20" s="39" t="str">
        <f>_xlfn.XLOOKUP(Table6[[#This Row],[Affected WTG]],'Basic Data'!$A:$A,'Basic Data'!$C:$C)</f>
        <v>MSEDCL</v>
      </c>
      <c r="J20" s="363">
        <f>IFERROR(VLOOKUP(Table6[[#This Row],[Affected WTG]],'Basic Data'!$A$3:$E$56,5,0),"")</f>
        <v>2.564102564102564E-2</v>
      </c>
      <c r="K20" s="121">
        <v>125</v>
      </c>
      <c r="L20" s="39" t="str">
        <f>IFERROR(VLOOKUP(Table6[[#This Row],[Error Code]],'Basic Data'!$T:$U,2,0),"")</f>
        <v xml:space="preserve">Yaw Motors Over Current Protection </v>
      </c>
      <c r="M20" s="364" t="s">
        <v>462</v>
      </c>
      <c r="O20" s="365">
        <v>0.49027777777777776</v>
      </c>
      <c r="P20" s="365">
        <v>0.58888888888888891</v>
      </c>
      <c r="Q20" s="365">
        <v>0.77916666666666667</v>
      </c>
      <c r="R20" s="366">
        <f>IF(Table6[[#This Row],[Work Start TimeStamp]]="","",(Table6[[#This Row],[Work Start TimeStamp]]-Table6[[#This Row],[Fault Start TimeStamp]])*24)</f>
        <v>2.3666666666666676</v>
      </c>
      <c r="S20" s="367">
        <f>(Table6[[#This Row],[Fault Clearance time]]-Table6[[#This Row],[Work Start TimeStamp]])*24</f>
        <v>4.5666666666666664</v>
      </c>
      <c r="T20" s="368">
        <f>(Table6[[#This Row],[Fault Clearance time]]-Table6[[#This Row],[Fault Start TimeStamp]])*24</f>
        <v>6.9333333333333336</v>
      </c>
      <c r="U20" s="364" t="s">
        <v>510</v>
      </c>
      <c r="V20" s="369" t="s">
        <v>463</v>
      </c>
      <c r="W20" s="354">
        <f>Table6[[#This Row],[Breakdown Time]]*(1/39)</f>
        <v>0.17777777777777778</v>
      </c>
      <c r="X20" s="352" t="s">
        <v>465</v>
      </c>
      <c r="Y20" s="370" t="s">
        <v>121</v>
      </c>
      <c r="Z20" s="121">
        <v>3645</v>
      </c>
      <c r="AA20" s="123">
        <v>1053</v>
      </c>
      <c r="AB20" s="121" t="s">
        <v>478</v>
      </c>
    </row>
    <row r="21" spans="1:28">
      <c r="A21" s="121">
        <f t="shared" si="0"/>
        <v>20</v>
      </c>
      <c r="B21" s="123">
        <f>YEAR(Table6[[#This Row],[Date]])+IF(MONTH(Table6[[#This Row],[Date]])&gt;=4,1,0)</f>
        <v>2025</v>
      </c>
      <c r="C21" s="121">
        <f>YEAR(Table6[[#This Row],[Date]])</f>
        <v>2025</v>
      </c>
      <c r="D21" s="121" t="s">
        <v>490</v>
      </c>
      <c r="E21" s="135">
        <f>Table6[[#This Row],[Date]]-DAY(Table6[[#This Row],[Date]])+1</f>
        <v>45717</v>
      </c>
      <c r="F21" s="134">
        <v>45746</v>
      </c>
      <c r="G21" s="121" t="s">
        <v>116</v>
      </c>
      <c r="H21" s="39" t="str">
        <f>_xlfn.XLOOKUP(Table6[[#This Row],[Affected WTG]],'Basic Data'!$A:$A,'Basic Data'!$B:$B)</f>
        <v>PWEGPL</v>
      </c>
      <c r="I21" s="39" t="str">
        <f>_xlfn.XLOOKUP(Table6[[#This Row],[Affected WTG]],'Basic Data'!$A:$A,'Basic Data'!$C:$C)</f>
        <v>MSEDCL</v>
      </c>
      <c r="J21" s="363">
        <f>IFERROR(VLOOKUP(Table6[[#This Row],[Affected WTG]],'Basic Data'!$A$3:$E$56,5,0),"")</f>
        <v>2.564102564102564E-2</v>
      </c>
      <c r="K21" s="121">
        <v>5203</v>
      </c>
      <c r="L21" s="39" t="str">
        <f>IFERROR(VLOOKUP(Table6[[#This Row],[Error Code]],'Basic Data'!$T:$U,2,0),"")</f>
        <v>Heating/Coolant Thermal Magnetic Failure</v>
      </c>
      <c r="M21" s="364" t="s">
        <v>462</v>
      </c>
      <c r="O21" s="365">
        <v>9.583333333333334E-2</v>
      </c>
      <c r="P21" s="365">
        <v>0.12708333333333333</v>
      </c>
      <c r="Q21" s="365">
        <v>0.32569444444444445</v>
      </c>
      <c r="R21" s="366">
        <f>IF(Table6[[#This Row],[Work Start TimeStamp]]="","",(Table6[[#This Row],[Work Start TimeStamp]]-Table6[[#This Row],[Fault Start TimeStamp]])*24)</f>
        <v>0.74999999999999967</v>
      </c>
      <c r="S21" s="367">
        <f>(Table6[[#This Row],[Fault Clearance time]]-Table6[[#This Row],[Work Start TimeStamp]])*24</f>
        <v>4.7666666666666675</v>
      </c>
      <c r="T21" s="368">
        <f>(Table6[[#This Row],[Fault Clearance time]]-Table6[[#This Row],[Fault Start TimeStamp]])*24</f>
        <v>5.5166666666666675</v>
      </c>
      <c r="U21" s="364" t="s">
        <v>515</v>
      </c>
      <c r="V21" s="369" t="s">
        <v>463</v>
      </c>
      <c r="W21" s="354">
        <f>Table6[[#This Row],[Breakdown Time]]*(1/39)</f>
        <v>0.14145299145299148</v>
      </c>
      <c r="X21" s="352" t="s">
        <v>465</v>
      </c>
      <c r="Y21" s="370" t="s">
        <v>118</v>
      </c>
      <c r="Z21" s="121">
        <v>3336</v>
      </c>
      <c r="AA21" s="123">
        <v>766.81666666666683</v>
      </c>
      <c r="AB21" s="121" t="s">
        <v>478</v>
      </c>
    </row>
    <row r="22" spans="1:28">
      <c r="A22" s="121">
        <f t="shared" si="0"/>
        <v>21</v>
      </c>
      <c r="B22" s="123">
        <f>YEAR(Table6[[#This Row],[Date]])+IF(MONTH(Table6[[#This Row],[Date]])&gt;=4,1,0)</f>
        <v>2025</v>
      </c>
      <c r="C22" s="121">
        <f>YEAR(Table6[[#This Row],[Date]])</f>
        <v>2025</v>
      </c>
      <c r="D22" s="121" t="s">
        <v>490</v>
      </c>
      <c r="E22" s="135">
        <f>Table6[[#This Row],[Date]]-DAY(Table6[[#This Row],[Date]])+1</f>
        <v>45717</v>
      </c>
      <c r="F22" s="134">
        <v>45746</v>
      </c>
      <c r="G22" s="121" t="s">
        <v>118</v>
      </c>
      <c r="H22" s="39" t="str">
        <f>_xlfn.XLOOKUP(Table6[[#This Row],[Affected WTG]],'Basic Data'!$A:$A,'Basic Data'!$B:$B)</f>
        <v>PWEGPL</v>
      </c>
      <c r="I22" s="39" t="str">
        <f>_xlfn.XLOOKUP(Table6[[#This Row],[Affected WTG]],'Basic Data'!$A:$A,'Basic Data'!$C:$C)</f>
        <v>MSEDCL</v>
      </c>
      <c r="J22" s="363">
        <f>IFERROR(VLOOKUP(Table6[[#This Row],[Affected WTG]],'Basic Data'!$A$3:$E$56,5,0),"")</f>
        <v>2.564102564102564E-2</v>
      </c>
      <c r="K22" s="121">
        <v>5200</v>
      </c>
      <c r="L22" s="39" t="str">
        <f>IFERROR(VLOOKUP(Table6[[#This Row],[Error Code]],'Basic Data'!$T:$U,2,0),"")</f>
        <v>Magnetothermic Trigger Of The Line Protection</v>
      </c>
      <c r="M22" s="364" t="s">
        <v>462</v>
      </c>
      <c r="O22" s="365">
        <v>0.61736111111111114</v>
      </c>
      <c r="P22" s="365">
        <v>0.61736111111111114</v>
      </c>
      <c r="Q22" s="365">
        <v>0.625</v>
      </c>
      <c r="R22" s="366">
        <f>IF(Table6[[#This Row],[Work Start TimeStamp]]="","",(Table6[[#This Row],[Work Start TimeStamp]]-Table6[[#This Row],[Fault Start TimeStamp]])*24)</f>
        <v>0</v>
      </c>
      <c r="S22" s="367">
        <f>(Table6[[#This Row],[Fault Clearance time]]-Table6[[#This Row],[Work Start TimeStamp]])*24</f>
        <v>0.18333333333333268</v>
      </c>
      <c r="T22" s="368">
        <f>(Table6[[#This Row],[Fault Clearance time]]-Table6[[#This Row],[Fault Start TimeStamp]])*24</f>
        <v>0.18333333333333268</v>
      </c>
      <c r="U22" s="364" t="s">
        <v>480</v>
      </c>
      <c r="V22" s="369" t="s">
        <v>463</v>
      </c>
      <c r="W22" s="354">
        <f>Table6[[#This Row],[Breakdown Time]]*(1/39)</f>
        <v>4.7008547008546842E-3</v>
      </c>
      <c r="X22" s="352" t="s">
        <v>465</v>
      </c>
      <c r="Y22" s="370" t="s">
        <v>117</v>
      </c>
      <c r="Z22" s="121">
        <v>2170</v>
      </c>
      <c r="AA22" s="123">
        <v>16.576388888888832</v>
      </c>
      <c r="AB22" s="121" t="s">
        <v>478</v>
      </c>
    </row>
    <row r="23" spans="1:28">
      <c r="A23" s="121">
        <f t="shared" si="0"/>
        <v>22</v>
      </c>
      <c r="B23" s="123">
        <f>YEAR(Table6[[#This Row],[Date]])+IF(MONTH(Table6[[#This Row],[Date]])&gt;=4,1,0)</f>
        <v>2025</v>
      </c>
      <c r="C23" s="121">
        <f>YEAR(Table6[[#This Row],[Date]])</f>
        <v>2025</v>
      </c>
      <c r="D23" s="121" t="s">
        <v>490</v>
      </c>
      <c r="E23" s="135">
        <f>Table6[[#This Row],[Date]]-DAY(Table6[[#This Row],[Date]])+1</f>
        <v>45717</v>
      </c>
      <c r="F23" s="134">
        <v>45746</v>
      </c>
      <c r="G23" s="121" t="s">
        <v>118</v>
      </c>
      <c r="H23" s="39" t="str">
        <f>_xlfn.XLOOKUP(Table6[[#This Row],[Affected WTG]],'Basic Data'!$A:$A,'Basic Data'!$B:$B)</f>
        <v>PWEGPL</v>
      </c>
      <c r="I23" s="39" t="str">
        <f>_xlfn.XLOOKUP(Table6[[#This Row],[Affected WTG]],'Basic Data'!$A:$A,'Basic Data'!$C:$C)</f>
        <v>MSEDCL</v>
      </c>
      <c r="J23" s="363">
        <f>IFERROR(VLOOKUP(Table6[[#This Row],[Affected WTG]],'Basic Data'!$A$3:$E$56,5,0),"")</f>
        <v>2.564102564102564E-2</v>
      </c>
      <c r="K23" s="121">
        <v>5200</v>
      </c>
      <c r="L23" s="39" t="str">
        <f>IFERROR(VLOOKUP(Table6[[#This Row],[Error Code]],'Basic Data'!$T:$U,2,0),"")</f>
        <v>Magnetothermic Trigger Of The Line Protection</v>
      </c>
      <c r="M23" s="364" t="s">
        <v>462</v>
      </c>
      <c r="O23" s="365">
        <v>0.68194444444444446</v>
      </c>
      <c r="P23" s="365">
        <v>0.78888888888888886</v>
      </c>
      <c r="Q23" s="365">
        <v>0.79097222222222219</v>
      </c>
      <c r="R23" s="366">
        <f>IF(Table6[[#This Row],[Work Start TimeStamp]]="","",(Table6[[#This Row],[Work Start TimeStamp]]-Table6[[#This Row],[Fault Start TimeStamp]])*24)</f>
        <v>2.5666666666666655</v>
      </c>
      <c r="S23" s="367">
        <f>(Table6[[#This Row],[Fault Clearance time]]-Table6[[#This Row],[Work Start TimeStamp]])*24</f>
        <v>4.9999999999999822E-2</v>
      </c>
      <c r="T23" s="368">
        <f>(Table6[[#This Row],[Fault Clearance time]]-Table6[[#This Row],[Fault Start TimeStamp]])*24</f>
        <v>2.6166666666666654</v>
      </c>
      <c r="U23" s="364" t="s">
        <v>491</v>
      </c>
      <c r="V23" s="369" t="s">
        <v>463</v>
      </c>
      <c r="W23" s="354">
        <f>Table6[[#This Row],[Breakdown Time]]*(1/39)</f>
        <v>6.7094017094017064E-2</v>
      </c>
      <c r="X23" s="352" t="s">
        <v>465</v>
      </c>
      <c r="Y23" s="370" t="s">
        <v>117</v>
      </c>
      <c r="Z23" s="121">
        <v>2170</v>
      </c>
      <c r="AA23" s="123">
        <v>236.59027777777769</v>
      </c>
      <c r="AB23" s="121" t="s">
        <v>478</v>
      </c>
    </row>
    <row r="24" spans="1:28">
      <c r="A24" s="121">
        <f t="shared" si="0"/>
        <v>23</v>
      </c>
      <c r="B24" s="123">
        <f>YEAR(Table6[[#This Row],[Date]])+IF(MONTH(Table6[[#This Row],[Date]])&gt;=4,1,0)</f>
        <v>2025</v>
      </c>
      <c r="C24" s="121">
        <f>YEAR(Table6[[#This Row],[Date]])</f>
        <v>2025</v>
      </c>
      <c r="D24" s="121" t="s">
        <v>490</v>
      </c>
      <c r="E24" s="135">
        <f>Table6[[#This Row],[Date]]-DAY(Table6[[#This Row],[Date]])+1</f>
        <v>45717</v>
      </c>
      <c r="F24" s="134">
        <v>45746</v>
      </c>
      <c r="G24" s="121" t="s">
        <v>140</v>
      </c>
      <c r="H24" s="39" t="str">
        <f>_xlfn.XLOOKUP(Table6[[#This Row],[Affected WTG]],'Basic Data'!$A:$A,'Basic Data'!$B:$B)</f>
        <v>PWEGPL</v>
      </c>
      <c r="I24" s="39" t="str">
        <f>_xlfn.XLOOKUP(Table6[[#This Row],[Affected WTG]],'Basic Data'!$A:$A,'Basic Data'!$C:$C)</f>
        <v>MSEDCL</v>
      </c>
      <c r="J24" s="363">
        <f>IFERROR(VLOOKUP(Table6[[#This Row],[Affected WTG]],'Basic Data'!$A$3:$E$56,5,0),"")</f>
        <v>2.564102564102564E-2</v>
      </c>
      <c r="K24" s="121" t="s">
        <v>492</v>
      </c>
      <c r="L24" s="39" t="str">
        <f>IFERROR(VLOOKUP(Table6[[#This Row],[Error Code]],'Basic Data'!$T:$U,2,0),"")</f>
        <v>Manual Stop - Safety Related</v>
      </c>
      <c r="M24" s="364" t="s">
        <v>481</v>
      </c>
      <c r="O24" s="365">
        <v>0.51458333333333328</v>
      </c>
      <c r="P24" s="365">
        <v>0.51458333333333328</v>
      </c>
      <c r="Q24" s="365">
        <v>0.71111111111111114</v>
      </c>
      <c r="R24" s="366">
        <f>IF(Table6[[#This Row],[Work Start TimeStamp]]="","",(Table6[[#This Row],[Work Start TimeStamp]]-Table6[[#This Row],[Fault Start TimeStamp]])*24)</f>
        <v>0</v>
      </c>
      <c r="S24" s="367">
        <f>(Table6[[#This Row],[Fault Clearance time]]-Table6[[#This Row],[Work Start TimeStamp]])*24</f>
        <v>4.7166666666666686</v>
      </c>
      <c r="T24" s="368">
        <f>(Table6[[#This Row],[Fault Clearance time]]-Table6[[#This Row],[Fault Start TimeStamp]])*24</f>
        <v>4.7166666666666686</v>
      </c>
      <c r="U24" s="364" t="s">
        <v>505</v>
      </c>
      <c r="V24" s="369" t="s">
        <v>463</v>
      </c>
      <c r="W24" s="354">
        <f>Table6[[#This Row],[Breakdown Time]]*(1/39)</f>
        <v>0.12094017094017098</v>
      </c>
      <c r="X24" s="352" t="s">
        <v>468</v>
      </c>
      <c r="Y24" s="370" t="s">
        <v>138</v>
      </c>
      <c r="Z24" s="121">
        <v>2822</v>
      </c>
      <c r="AA24" s="123">
        <v>554.60138888888912</v>
      </c>
      <c r="AB24" s="121" t="s">
        <v>478</v>
      </c>
    </row>
    <row r="25" spans="1:28">
      <c r="A25" s="121">
        <f t="shared" si="0"/>
        <v>24</v>
      </c>
      <c r="B25" s="123">
        <f>YEAR(Table6[[#This Row],[Date]])+IF(MONTH(Table6[[#This Row],[Date]])&gt;=4,1,0)</f>
        <v>2025</v>
      </c>
      <c r="C25" s="121">
        <f>YEAR(Table6[[#This Row],[Date]])</f>
        <v>2025</v>
      </c>
      <c r="D25" s="121" t="s">
        <v>490</v>
      </c>
      <c r="E25" s="135">
        <f>Table6[[#This Row],[Date]]-DAY(Table6[[#This Row],[Date]])+1</f>
        <v>45717</v>
      </c>
      <c r="F25" s="134">
        <v>45746</v>
      </c>
      <c r="G25" s="121" t="s">
        <v>141</v>
      </c>
      <c r="H25" s="39" t="str">
        <f>_xlfn.XLOOKUP(Table6[[#This Row],[Affected WTG]],'Basic Data'!$A:$A,'Basic Data'!$B:$B)</f>
        <v>PWEGPL</v>
      </c>
      <c r="I25" s="39" t="str">
        <f>_xlfn.XLOOKUP(Table6[[#This Row],[Affected WTG]],'Basic Data'!$A:$A,'Basic Data'!$C:$C)</f>
        <v>MSEDCL</v>
      </c>
      <c r="J25" s="363">
        <f>IFERROR(VLOOKUP(Table6[[#This Row],[Affected WTG]],'Basic Data'!$A$3:$E$56,5,0),"")</f>
        <v>2.564102564102564E-2</v>
      </c>
      <c r="K25" s="121">
        <v>524</v>
      </c>
      <c r="L25" s="39" t="str">
        <f>IFERROR(VLOOKUP(Table6[[#This Row],[Error Code]],'Basic Data'!$T:$U,2,0),"")</f>
        <v>High Temperature Of The Control Module</v>
      </c>
      <c r="M25" s="364" t="s">
        <v>462</v>
      </c>
      <c r="O25" s="365">
        <v>3.125E-2</v>
      </c>
      <c r="P25" s="365">
        <v>7.6388888888888895E-2</v>
      </c>
      <c r="Q25" s="365">
        <v>8.1944444444444445E-2</v>
      </c>
      <c r="R25" s="366">
        <f>IF(Table6[[#This Row],[Work Start TimeStamp]]="","",(Table6[[#This Row],[Work Start TimeStamp]]-Table6[[#This Row],[Fault Start TimeStamp]])*24)</f>
        <v>1.0833333333333335</v>
      </c>
      <c r="S25" s="367">
        <f>(Table6[[#This Row],[Fault Clearance time]]-Table6[[#This Row],[Work Start TimeStamp]])*24</f>
        <v>0.13333333333333319</v>
      </c>
      <c r="T25" s="368">
        <f>(Table6[[#This Row],[Fault Clearance time]]-Table6[[#This Row],[Fault Start TimeStamp]])*24</f>
        <v>1.2166666666666668</v>
      </c>
      <c r="U25" s="364" t="s">
        <v>491</v>
      </c>
      <c r="V25" s="369" t="s">
        <v>463</v>
      </c>
      <c r="W25" s="354">
        <f>Table6[[#This Row],[Breakdown Time]]*(1/39)</f>
        <v>3.11965811965812E-2</v>
      </c>
      <c r="X25" s="352" t="s">
        <v>465</v>
      </c>
      <c r="Y25" s="370" t="s">
        <v>143</v>
      </c>
      <c r="Z25" s="121">
        <v>2712</v>
      </c>
      <c r="AA25" s="123">
        <v>137.48333333333335</v>
      </c>
      <c r="AB25" s="121" t="s">
        <v>478</v>
      </c>
    </row>
    <row r="26" spans="1:28">
      <c r="A26" s="121">
        <f t="shared" si="0"/>
        <v>25</v>
      </c>
      <c r="B26" s="123">
        <f>YEAR(Table6[[#This Row],[Date]])+IF(MONTH(Table6[[#This Row],[Date]])&gt;=4,1,0)</f>
        <v>2025</v>
      </c>
      <c r="C26" s="121">
        <f>YEAR(Table6[[#This Row],[Date]])</f>
        <v>2025</v>
      </c>
      <c r="D26" s="121" t="s">
        <v>490</v>
      </c>
      <c r="E26" s="135">
        <f>Table6[[#This Row],[Date]]-DAY(Table6[[#This Row],[Date]])+1</f>
        <v>45717</v>
      </c>
      <c r="F26" s="134">
        <v>45746</v>
      </c>
      <c r="G26" s="121" t="s">
        <v>141</v>
      </c>
      <c r="H26" s="39" t="str">
        <f>_xlfn.XLOOKUP(Table6[[#This Row],[Affected WTG]],'Basic Data'!$A:$A,'Basic Data'!$B:$B)</f>
        <v>PWEGPL</v>
      </c>
      <c r="I26" s="39" t="str">
        <f>_xlfn.XLOOKUP(Table6[[#This Row],[Affected WTG]],'Basic Data'!$A:$A,'Basic Data'!$C:$C)</f>
        <v>MSEDCL</v>
      </c>
      <c r="J26" s="363">
        <f>IFERROR(VLOOKUP(Table6[[#This Row],[Affected WTG]],'Basic Data'!$A$3:$E$56,5,0),"")</f>
        <v>2.564102564102564E-2</v>
      </c>
      <c r="K26" s="121">
        <v>524</v>
      </c>
      <c r="L26" s="39" t="str">
        <f>IFERROR(VLOOKUP(Table6[[#This Row],[Error Code]],'Basic Data'!$T:$U,2,0),"")</f>
        <v>High Temperature Of The Control Module</v>
      </c>
      <c r="M26" s="364" t="s">
        <v>462</v>
      </c>
      <c r="O26" s="365">
        <v>0.4777777777777778</v>
      </c>
      <c r="P26" s="365">
        <v>0.72499999999999998</v>
      </c>
      <c r="Q26" s="365">
        <v>0.73750000000000004</v>
      </c>
      <c r="R26" s="366">
        <f>IF(Table6[[#This Row],[Work Start TimeStamp]]="","",(Table6[[#This Row],[Work Start TimeStamp]]-Table6[[#This Row],[Fault Start TimeStamp]])*24)</f>
        <v>5.9333333333333318</v>
      </c>
      <c r="S26" s="367">
        <f>(Table6[[#This Row],[Fault Clearance time]]-Table6[[#This Row],[Work Start TimeStamp]])*24</f>
        <v>0.3000000000000016</v>
      </c>
      <c r="T26" s="368">
        <f>(Table6[[#This Row],[Fault Clearance time]]-Table6[[#This Row],[Fault Start TimeStamp]])*24</f>
        <v>6.2333333333333343</v>
      </c>
      <c r="U26" s="364" t="s">
        <v>503</v>
      </c>
      <c r="V26" s="369" t="s">
        <v>463</v>
      </c>
      <c r="W26" s="354">
        <f>Table6[[#This Row],[Breakdown Time]]*(1/39)</f>
        <v>0.15982905982905984</v>
      </c>
      <c r="X26" s="352" t="s">
        <v>465</v>
      </c>
      <c r="Y26" s="370" t="s">
        <v>143</v>
      </c>
      <c r="Z26" s="121">
        <v>2712</v>
      </c>
      <c r="AA26" s="123">
        <v>704.36666666666679</v>
      </c>
      <c r="AB26" s="121" t="s">
        <v>478</v>
      </c>
    </row>
    <row r="27" spans="1:28">
      <c r="A27" s="121">
        <f t="shared" si="0"/>
        <v>26</v>
      </c>
      <c r="B27" s="123">
        <f>YEAR(Table6[[#This Row],[Date]])+IF(MONTH(Table6[[#This Row],[Date]])&gt;=4,1,0)</f>
        <v>2025</v>
      </c>
      <c r="C27" s="121">
        <f>YEAR(Table6[[#This Row],[Date]])</f>
        <v>2025</v>
      </c>
      <c r="D27" s="121" t="s">
        <v>490</v>
      </c>
      <c r="E27" s="135">
        <f>Table6[[#This Row],[Date]]-DAY(Table6[[#This Row],[Date]])+1</f>
        <v>45717</v>
      </c>
      <c r="F27" s="134">
        <v>45746</v>
      </c>
      <c r="G27" s="121" t="s">
        <v>148</v>
      </c>
      <c r="H27" s="39" t="str">
        <f>_xlfn.XLOOKUP(Table6[[#This Row],[Affected WTG]],'Basic Data'!$A:$A,'Basic Data'!$B:$B)</f>
        <v>PWEGPL</v>
      </c>
      <c r="I27" s="39" t="str">
        <f>_xlfn.XLOOKUP(Table6[[#This Row],[Affected WTG]],'Basic Data'!$A:$A,'Basic Data'!$C:$C)</f>
        <v>MSEDCL</v>
      </c>
      <c r="J27" s="363">
        <f>IFERROR(VLOOKUP(Table6[[#This Row],[Affected WTG]],'Basic Data'!$A$3:$E$56,5,0),"")</f>
        <v>2.564102564102564E-2</v>
      </c>
      <c r="K27" s="121">
        <v>103</v>
      </c>
      <c r="L27" s="39" t="str">
        <f>IFERROR(VLOOKUP(Table6[[#This Row],[Error Code]],'Basic Data'!$T:$U,2,0),"")</f>
        <v>CCW Feedback Failure</v>
      </c>
      <c r="M27" s="364" t="s">
        <v>462</v>
      </c>
      <c r="O27" s="365">
        <v>0.42083333333333334</v>
      </c>
      <c r="P27" s="365">
        <v>0.42083333333333334</v>
      </c>
      <c r="Q27" s="365">
        <v>0.42777777777777776</v>
      </c>
      <c r="R27" s="366">
        <f>IF(Table6[[#This Row],[Work Start TimeStamp]]="","",(Table6[[#This Row],[Work Start TimeStamp]]-Table6[[#This Row],[Fault Start TimeStamp]])*24)</f>
        <v>0</v>
      </c>
      <c r="S27" s="367">
        <f>(Table6[[#This Row],[Fault Clearance time]]-Table6[[#This Row],[Work Start TimeStamp]])*24</f>
        <v>0.16666666666666607</v>
      </c>
      <c r="T27" s="368">
        <f>(Table6[[#This Row],[Fault Clearance time]]-Table6[[#This Row],[Fault Start TimeStamp]])*24</f>
        <v>0.16666666666666607</v>
      </c>
      <c r="U27" s="364" t="s">
        <v>480</v>
      </c>
      <c r="V27" s="369" t="s">
        <v>463</v>
      </c>
      <c r="W27" s="354">
        <f>Table6[[#This Row],[Breakdown Time]]*(1/39)</f>
        <v>4.2735042735042583E-3</v>
      </c>
      <c r="X27" s="352" t="s">
        <v>465</v>
      </c>
      <c r="Y27" s="370" t="s">
        <v>149</v>
      </c>
      <c r="Z27" s="121">
        <v>3150</v>
      </c>
      <c r="AA27" s="123">
        <v>21.874999999999922</v>
      </c>
      <c r="AB27" s="121" t="s">
        <v>478</v>
      </c>
    </row>
    <row r="28" spans="1:28">
      <c r="A28" s="121">
        <f t="shared" si="0"/>
        <v>27</v>
      </c>
      <c r="B28" s="123">
        <f>YEAR(Table6[[#This Row],[Date]])+IF(MONTH(Table6[[#This Row],[Date]])&gt;=4,1,0)</f>
        <v>2025</v>
      </c>
      <c r="C28" s="121">
        <f>YEAR(Table6[[#This Row],[Date]])</f>
        <v>2025</v>
      </c>
      <c r="D28" s="121" t="s">
        <v>490</v>
      </c>
      <c r="E28" s="135">
        <f>Table6[[#This Row],[Date]]-DAY(Table6[[#This Row],[Date]])+1</f>
        <v>45717</v>
      </c>
      <c r="F28" s="134">
        <v>45746</v>
      </c>
      <c r="G28" s="121" t="s">
        <v>148</v>
      </c>
      <c r="H28" s="39" t="str">
        <f>_xlfn.XLOOKUP(Table6[[#This Row],[Affected WTG]],'Basic Data'!$A:$A,'Basic Data'!$B:$B)</f>
        <v>PWEGPL</v>
      </c>
      <c r="I28" s="39" t="str">
        <f>_xlfn.XLOOKUP(Table6[[#This Row],[Affected WTG]],'Basic Data'!$A:$A,'Basic Data'!$C:$C)</f>
        <v>MSEDCL</v>
      </c>
      <c r="J28" s="363">
        <f>IFERROR(VLOOKUP(Table6[[#This Row],[Affected WTG]],'Basic Data'!$A$3:$E$56,5,0),"")</f>
        <v>2.564102564102564E-2</v>
      </c>
      <c r="K28" s="121">
        <v>103</v>
      </c>
      <c r="L28" s="39" t="str">
        <f>IFERROR(VLOOKUP(Table6[[#This Row],[Error Code]],'Basic Data'!$T:$U,2,0),"")</f>
        <v>CCW Feedback Failure</v>
      </c>
      <c r="M28" s="364" t="s">
        <v>462</v>
      </c>
      <c r="O28" s="365">
        <v>0.43194444444444446</v>
      </c>
      <c r="P28" s="365">
        <v>0.52152777777777781</v>
      </c>
      <c r="Q28" s="365">
        <v>0.66666666666666663</v>
      </c>
      <c r="R28" s="366">
        <f>IF(Table6[[#This Row],[Work Start TimeStamp]]="","",(Table6[[#This Row],[Work Start TimeStamp]]-Table6[[#This Row],[Fault Start TimeStamp]])*24)</f>
        <v>2.1500000000000004</v>
      </c>
      <c r="S28" s="367">
        <f>(Table6[[#This Row],[Fault Clearance time]]-Table6[[#This Row],[Work Start TimeStamp]])*24</f>
        <v>3.4833333333333316</v>
      </c>
      <c r="T28" s="368">
        <f>(Table6[[#This Row],[Fault Clearance time]]-Table6[[#This Row],[Fault Start TimeStamp]])*24</f>
        <v>5.633333333333332</v>
      </c>
      <c r="U28" s="364" t="s">
        <v>516</v>
      </c>
      <c r="V28" s="369" t="s">
        <v>463</v>
      </c>
      <c r="W28" s="354">
        <f>Table6[[#This Row],[Breakdown Time]]*(1/39)</f>
        <v>0.1444444444444444</v>
      </c>
      <c r="X28" s="352" t="s">
        <v>465</v>
      </c>
      <c r="Y28" s="370" t="s">
        <v>149</v>
      </c>
      <c r="Z28" s="121">
        <v>3150</v>
      </c>
      <c r="AA28" s="123">
        <v>739.37499999999977</v>
      </c>
      <c r="AB28" s="121" t="s">
        <v>478</v>
      </c>
    </row>
    <row r="29" spans="1:28">
      <c r="A29" s="121">
        <f t="shared" si="0"/>
        <v>28</v>
      </c>
      <c r="B29" s="123">
        <f>YEAR(Table6[[#This Row],[Date]])+IF(MONTH(Table6[[#This Row],[Date]])&gt;=4,1,0)</f>
        <v>2025</v>
      </c>
      <c r="C29" s="121">
        <f>YEAR(Table6[[#This Row],[Date]])</f>
        <v>2025</v>
      </c>
      <c r="D29" s="121" t="s">
        <v>490</v>
      </c>
      <c r="E29" s="135">
        <f>Table6[[#This Row],[Date]]-DAY(Table6[[#This Row],[Date]])+1</f>
        <v>45717</v>
      </c>
      <c r="F29" s="134">
        <v>45746</v>
      </c>
      <c r="G29" s="121" t="s">
        <v>153</v>
      </c>
      <c r="H29" s="39" t="str">
        <f>_xlfn.XLOOKUP(Table6[[#This Row],[Affected WTG]],'Basic Data'!$A:$A,'Basic Data'!$B:$B)</f>
        <v>PWEGPL</v>
      </c>
      <c r="I29" s="39" t="str">
        <f>_xlfn.XLOOKUP(Table6[[#This Row],[Affected WTG]],'Basic Data'!$A:$A,'Basic Data'!$C:$C)</f>
        <v>MSEDCL</v>
      </c>
      <c r="J29" s="363">
        <f>IFERROR(VLOOKUP(Table6[[#This Row],[Affected WTG]],'Basic Data'!$A$3:$E$56,5,0),"")</f>
        <v>2.564102564102564E-2</v>
      </c>
      <c r="K29" s="121">
        <v>812</v>
      </c>
      <c r="L29" s="39" t="str">
        <f>IFERROR(VLOOKUP(Table6[[#This Row],[Error Code]],'Basic Data'!$T:$U,2,0),"")</f>
        <v>Blade Position Meas. Error</v>
      </c>
      <c r="M29" s="364" t="s">
        <v>462</v>
      </c>
      <c r="O29" s="365">
        <v>0.51458333333333328</v>
      </c>
      <c r="P29" s="365">
        <v>0.51458333333333328</v>
      </c>
      <c r="Q29" s="365">
        <v>0.5180555555555556</v>
      </c>
      <c r="R29" s="366">
        <f>IF(Table6[[#This Row],[Work Start TimeStamp]]="","",(Table6[[#This Row],[Work Start TimeStamp]]-Table6[[#This Row],[Fault Start TimeStamp]])*24)</f>
        <v>0</v>
      </c>
      <c r="S29" s="367">
        <f>(Table6[[#This Row],[Fault Clearance time]]-Table6[[#This Row],[Work Start TimeStamp]])*24</f>
        <v>8.3333333333335702E-2</v>
      </c>
      <c r="T29" s="368">
        <f>(Table6[[#This Row],[Fault Clearance time]]-Table6[[#This Row],[Fault Start TimeStamp]])*24</f>
        <v>8.3333333333335702E-2</v>
      </c>
      <c r="U29" s="364" t="s">
        <v>480</v>
      </c>
      <c r="V29" s="369" t="s">
        <v>463</v>
      </c>
      <c r="W29" s="354">
        <f>Table6[[#This Row],[Breakdown Time]]*(1/39)</f>
        <v>2.1367521367521972E-3</v>
      </c>
      <c r="X29" s="352" t="s">
        <v>465</v>
      </c>
      <c r="Y29" s="370" t="s">
        <v>152</v>
      </c>
      <c r="Z29" s="121">
        <v>2708</v>
      </c>
      <c r="AA29" s="123">
        <v>9.402777777778045</v>
      </c>
      <c r="AB29" s="121" t="s">
        <v>478</v>
      </c>
    </row>
    <row r="30" spans="1:28">
      <c r="A30" s="121">
        <f t="shared" si="0"/>
        <v>29</v>
      </c>
      <c r="B30" s="123">
        <f>YEAR(Table6[[#This Row],[Date]])+IF(MONTH(Table6[[#This Row],[Date]])&gt;=4,1,0)</f>
        <v>2025</v>
      </c>
      <c r="C30" s="121">
        <f>YEAR(Table6[[#This Row],[Date]])</f>
        <v>2025</v>
      </c>
      <c r="D30" s="121" t="s">
        <v>490</v>
      </c>
      <c r="E30" s="135">
        <f>Table6[[#This Row],[Date]]-DAY(Table6[[#This Row],[Date]])+1</f>
        <v>45717</v>
      </c>
      <c r="F30" s="134">
        <v>45747</v>
      </c>
      <c r="G30" s="121" t="s">
        <v>144</v>
      </c>
      <c r="H30" s="39" t="str">
        <f>_xlfn.XLOOKUP(Table6[[#This Row],[Affected WTG]],'Basic Data'!$A:$A,'Basic Data'!$B:$B)</f>
        <v>PWEGPL</v>
      </c>
      <c r="I30" s="39" t="str">
        <f>_xlfn.XLOOKUP(Table6[[#This Row],[Affected WTG]],'Basic Data'!$A:$A,'Basic Data'!$C:$C)</f>
        <v>MSEDCL</v>
      </c>
      <c r="J30" s="363">
        <f>IFERROR(VLOOKUP(Table6[[#This Row],[Affected WTG]],'Basic Data'!$A$3:$E$56,5,0),"")</f>
        <v>2.564102564102564E-2</v>
      </c>
      <c r="K30" s="121" t="s">
        <v>492</v>
      </c>
      <c r="L30" s="39" t="str">
        <f>IFERROR(VLOOKUP(Table6[[#This Row],[Error Code]],'Basic Data'!$T:$U,2,0),"")</f>
        <v>Manual Stop - Safety Related</v>
      </c>
      <c r="M30" s="364" t="s">
        <v>481</v>
      </c>
      <c r="O30" s="365">
        <v>0</v>
      </c>
      <c r="P30" s="365">
        <v>0.99930555555555556</v>
      </c>
      <c r="Q30" s="365">
        <v>0.99930555555555556</v>
      </c>
      <c r="R30" s="366">
        <f>IF(Table6[[#This Row],[Work Start TimeStamp]]="","",(Table6[[#This Row],[Work Start TimeStamp]]-Table6[[#This Row],[Fault Start TimeStamp]])*24)</f>
        <v>23.983333333333334</v>
      </c>
      <c r="S30" s="367">
        <f>(Table6[[#This Row],[Fault Clearance time]]-Table6[[#This Row],[Work Start TimeStamp]])*24</f>
        <v>0</v>
      </c>
      <c r="T30" s="368">
        <f>(Table6[[#This Row],[Fault Clearance time]]-Table6[[#This Row],[Fault Start TimeStamp]])*24</f>
        <v>23.983333333333334</v>
      </c>
      <c r="U30" s="364" t="s">
        <v>498</v>
      </c>
      <c r="V30" s="369" t="s">
        <v>473</v>
      </c>
      <c r="W30" s="354">
        <f>Table6[[#This Row],[Breakdown Time]]*(1/39)</f>
        <v>0.61495726495726499</v>
      </c>
      <c r="X30" s="352" t="s">
        <v>468</v>
      </c>
      <c r="Y30" s="370" t="s">
        <v>141</v>
      </c>
      <c r="Z30" s="121">
        <v>6006</v>
      </c>
      <c r="AA30" s="123">
        <v>6001.8291666666673</v>
      </c>
      <c r="AB30" s="121" t="s">
        <v>478</v>
      </c>
    </row>
    <row r="31" spans="1:28">
      <c r="A31" s="121">
        <f t="shared" si="0"/>
        <v>30</v>
      </c>
      <c r="B31" s="123">
        <f>YEAR(Table6[[#This Row],[Date]])+IF(MONTH(Table6[[#This Row],[Date]])&gt;=4,1,0)</f>
        <v>2025</v>
      </c>
      <c r="C31" s="121">
        <f>YEAR(Table6[[#This Row],[Date]])</f>
        <v>2025</v>
      </c>
      <c r="D31" s="121" t="s">
        <v>490</v>
      </c>
      <c r="E31" s="135">
        <f>Table6[[#This Row],[Date]]-DAY(Table6[[#This Row],[Date]])+1</f>
        <v>45717</v>
      </c>
      <c r="F31" s="134">
        <v>45747</v>
      </c>
      <c r="G31" s="121" t="s">
        <v>142</v>
      </c>
      <c r="H31" s="39" t="str">
        <f>_xlfn.XLOOKUP(Table6[[#This Row],[Affected WTG]],'Basic Data'!$A:$A,'Basic Data'!$B:$B)</f>
        <v>PWEGPL</v>
      </c>
      <c r="I31" s="39" t="str">
        <f>_xlfn.XLOOKUP(Table6[[#This Row],[Affected WTG]],'Basic Data'!$A:$A,'Basic Data'!$C:$C)</f>
        <v>MSEDCL</v>
      </c>
      <c r="J31" s="363">
        <f>IFERROR(VLOOKUP(Table6[[#This Row],[Affected WTG]],'Basic Data'!$A$3:$E$56,5,0),"")</f>
        <v>2.564102564102564E-2</v>
      </c>
      <c r="K31" s="121" t="s">
        <v>492</v>
      </c>
      <c r="L31" s="39" t="str">
        <f>IFERROR(VLOOKUP(Table6[[#This Row],[Error Code]],'Basic Data'!$T:$U,2,0),"")</f>
        <v>Manual Stop - Safety Related</v>
      </c>
      <c r="M31" s="364" t="s">
        <v>481</v>
      </c>
      <c r="O31" s="365">
        <v>0</v>
      </c>
      <c r="P31" s="365">
        <v>0.99930555555555556</v>
      </c>
      <c r="Q31" s="365">
        <v>0.99930555555555556</v>
      </c>
      <c r="R31" s="366">
        <f>IF(Table6[[#This Row],[Work Start TimeStamp]]="","",(Table6[[#This Row],[Work Start TimeStamp]]-Table6[[#This Row],[Fault Start TimeStamp]])*24)</f>
        <v>23.983333333333334</v>
      </c>
      <c r="S31" s="367">
        <f>(Table6[[#This Row],[Fault Clearance time]]-Table6[[#This Row],[Work Start TimeStamp]])*24</f>
        <v>0</v>
      </c>
      <c r="T31" s="368">
        <f>(Table6[[#This Row],[Fault Clearance time]]-Table6[[#This Row],[Fault Start TimeStamp]])*24</f>
        <v>23.983333333333334</v>
      </c>
      <c r="U31" s="364" t="s">
        <v>498</v>
      </c>
      <c r="V31" s="369" t="s">
        <v>473</v>
      </c>
      <c r="W31" s="354">
        <f>Table6[[#This Row],[Breakdown Time]]*(1/39)</f>
        <v>0.61495726495726499</v>
      </c>
      <c r="X31" s="352" t="s">
        <v>468</v>
      </c>
      <c r="Y31" s="370" t="s">
        <v>141</v>
      </c>
      <c r="Z31" s="121">
        <v>6006</v>
      </c>
      <c r="AA31" s="123">
        <v>6001.8291666666673</v>
      </c>
      <c r="AB31" s="121" t="s">
        <v>478</v>
      </c>
    </row>
    <row r="32" spans="1:28">
      <c r="A32" s="121">
        <f t="shared" si="0"/>
        <v>31</v>
      </c>
      <c r="B32" s="123">
        <f>YEAR(Table6[[#This Row],[Date]])+IF(MONTH(Table6[[#This Row],[Date]])&gt;=4,1,0)</f>
        <v>2025</v>
      </c>
      <c r="C32" s="121">
        <f>YEAR(Table6[[#This Row],[Date]])</f>
        <v>2025</v>
      </c>
      <c r="D32" s="121" t="s">
        <v>490</v>
      </c>
      <c r="E32" s="135">
        <f>Table6[[#This Row],[Date]]-DAY(Table6[[#This Row],[Date]])+1</f>
        <v>45717</v>
      </c>
      <c r="F32" s="134">
        <v>45747</v>
      </c>
      <c r="G32" s="121" t="s">
        <v>115</v>
      </c>
      <c r="H32" s="39" t="str">
        <f>_xlfn.XLOOKUP(Table6[[#This Row],[Affected WTG]],'Basic Data'!$A:$A,'Basic Data'!$B:$B)</f>
        <v>PWEGPL</v>
      </c>
      <c r="I32" s="39" t="str">
        <f>_xlfn.XLOOKUP(Table6[[#This Row],[Affected WTG]],'Basic Data'!$A:$A,'Basic Data'!$C:$C)</f>
        <v>MSEDCL</v>
      </c>
      <c r="J32" s="363">
        <f>IFERROR(VLOOKUP(Table6[[#This Row],[Affected WTG]],'Basic Data'!$A$3:$E$56,5,0),"")</f>
        <v>2.564102564102564E-2</v>
      </c>
      <c r="K32" s="121">
        <v>5205</v>
      </c>
      <c r="L32" s="39" t="str">
        <f>IFERROR(VLOOKUP(Table6[[#This Row],[Error Code]],'Basic Data'!$T:$U,2,0),"")</f>
        <v>Magnetothermic Of The Stator Protection Failure Or Door Open</v>
      </c>
      <c r="M32" s="364" t="s">
        <v>462</v>
      </c>
      <c r="O32" s="365">
        <v>0.55069444444444449</v>
      </c>
      <c r="P32" s="365">
        <v>0.55069444444444449</v>
      </c>
      <c r="Q32" s="365">
        <v>0.55347222222222225</v>
      </c>
      <c r="R32" s="366">
        <f>IF(Table6[[#This Row],[Work Start TimeStamp]]="","",(Table6[[#This Row],[Work Start TimeStamp]]-Table6[[#This Row],[Fault Start TimeStamp]])*24)</f>
        <v>0</v>
      </c>
      <c r="S32" s="367">
        <f>(Table6[[#This Row],[Fault Clearance time]]-Table6[[#This Row],[Work Start TimeStamp]])*24</f>
        <v>6.666666666666643E-2</v>
      </c>
      <c r="T32" s="368">
        <f>(Table6[[#This Row],[Fault Clearance time]]-Table6[[#This Row],[Fault Start TimeStamp]])*24</f>
        <v>6.666666666666643E-2</v>
      </c>
      <c r="U32" s="364" t="s">
        <v>480</v>
      </c>
      <c r="V32" s="369" t="s">
        <v>463</v>
      </c>
      <c r="W32" s="354">
        <f>Table6[[#This Row],[Breakdown Time]]*(1/39)</f>
        <v>1.7094017094017033E-3</v>
      </c>
      <c r="X32" s="352" t="s">
        <v>465</v>
      </c>
      <c r="Y32" s="370" t="s">
        <v>121</v>
      </c>
      <c r="Z32" s="121">
        <v>6040</v>
      </c>
      <c r="AA32" s="123">
        <v>16.777777777777718</v>
      </c>
      <c r="AB32" s="121" t="s">
        <v>478</v>
      </c>
    </row>
    <row r="33" spans="1:28">
      <c r="A33" s="121">
        <f t="shared" si="0"/>
        <v>32</v>
      </c>
      <c r="B33" s="123">
        <f>YEAR(Table6[[#This Row],[Date]])+IF(MONTH(Table6[[#This Row],[Date]])&gt;=4,1,0)</f>
        <v>2025</v>
      </c>
      <c r="C33" s="121">
        <f>YEAR(Table6[[#This Row],[Date]])</f>
        <v>2025</v>
      </c>
      <c r="D33" s="121" t="s">
        <v>490</v>
      </c>
      <c r="E33" s="135">
        <f>Table6[[#This Row],[Date]]-DAY(Table6[[#This Row],[Date]])+1</f>
        <v>45717</v>
      </c>
      <c r="F33" s="134">
        <v>45747</v>
      </c>
      <c r="G33" s="121" t="s">
        <v>115</v>
      </c>
      <c r="H33" s="39" t="str">
        <f>_xlfn.XLOOKUP(Table6[[#This Row],[Affected WTG]],'Basic Data'!$A:$A,'Basic Data'!$B:$B)</f>
        <v>PWEGPL</v>
      </c>
      <c r="I33" s="39" t="str">
        <f>_xlfn.XLOOKUP(Table6[[#This Row],[Affected WTG]],'Basic Data'!$A:$A,'Basic Data'!$C:$C)</f>
        <v>MSEDCL</v>
      </c>
      <c r="J33" s="363">
        <f>IFERROR(VLOOKUP(Table6[[#This Row],[Affected WTG]],'Basic Data'!$A$3:$E$56,5,0),"")</f>
        <v>2.564102564102564E-2</v>
      </c>
      <c r="K33" s="121">
        <v>812</v>
      </c>
      <c r="L33" s="39" t="str">
        <f>IFERROR(VLOOKUP(Table6[[#This Row],[Error Code]],'Basic Data'!$T:$U,2,0),"")</f>
        <v>Blade Position Meas. Error</v>
      </c>
      <c r="M33" s="364" t="s">
        <v>462</v>
      </c>
      <c r="O33" s="365">
        <v>0.56319444444444444</v>
      </c>
      <c r="P33" s="365">
        <v>0.56319444444444444</v>
      </c>
      <c r="Q33" s="365">
        <v>0.57013888888888886</v>
      </c>
      <c r="R33" s="366">
        <f>IF(Table6[[#This Row],[Work Start TimeStamp]]="","",(Table6[[#This Row],[Work Start TimeStamp]]-Table6[[#This Row],[Fault Start TimeStamp]])*24)</f>
        <v>0</v>
      </c>
      <c r="S33" s="367">
        <f>(Table6[[#This Row],[Fault Clearance time]]-Table6[[#This Row],[Work Start TimeStamp]])*24</f>
        <v>0.16666666666666607</v>
      </c>
      <c r="T33" s="368">
        <f>(Table6[[#This Row],[Fault Clearance time]]-Table6[[#This Row],[Fault Start TimeStamp]])*24</f>
        <v>0.16666666666666607</v>
      </c>
      <c r="U33" s="364" t="s">
        <v>480</v>
      </c>
      <c r="V33" s="369" t="s">
        <v>463</v>
      </c>
      <c r="W33" s="354">
        <f>Table6[[#This Row],[Breakdown Time]]*(1/39)</f>
        <v>4.2735042735042583E-3</v>
      </c>
      <c r="X33" s="352" t="s">
        <v>465</v>
      </c>
      <c r="Y33" s="370" t="s">
        <v>121</v>
      </c>
      <c r="Z33" s="121">
        <v>6040</v>
      </c>
      <c r="AA33" s="123">
        <v>41.944444444444294</v>
      </c>
      <c r="AB33" s="121" t="s">
        <v>478</v>
      </c>
    </row>
    <row r="34" spans="1:28">
      <c r="A34" s="121">
        <f t="shared" si="0"/>
        <v>33</v>
      </c>
      <c r="B34" s="123">
        <f>YEAR(Table6[[#This Row],[Date]])+IF(MONTH(Table6[[#This Row],[Date]])&gt;=4,1,0)</f>
        <v>2025</v>
      </c>
      <c r="C34" s="121">
        <f>YEAR(Table6[[#This Row],[Date]])</f>
        <v>2025</v>
      </c>
      <c r="D34" s="121" t="s">
        <v>490</v>
      </c>
      <c r="E34" s="135">
        <f>Table6[[#This Row],[Date]]-DAY(Table6[[#This Row],[Date]])+1</f>
        <v>45717</v>
      </c>
      <c r="F34" s="134">
        <v>45747</v>
      </c>
      <c r="G34" s="121" t="s">
        <v>117</v>
      </c>
      <c r="H34" s="39" t="str">
        <f>_xlfn.XLOOKUP(Table6[[#This Row],[Affected WTG]],'Basic Data'!$A:$A,'Basic Data'!$B:$B)</f>
        <v>PWEGPL</v>
      </c>
      <c r="I34" s="39" t="str">
        <f>_xlfn.XLOOKUP(Table6[[#This Row],[Affected WTG]],'Basic Data'!$A:$A,'Basic Data'!$C:$C)</f>
        <v>MSEDCL</v>
      </c>
      <c r="J34" s="363">
        <f>IFERROR(VLOOKUP(Table6[[#This Row],[Affected WTG]],'Basic Data'!$A$3:$E$56,5,0),"")</f>
        <v>2.564102564102564E-2</v>
      </c>
      <c r="K34" s="121" t="s">
        <v>492</v>
      </c>
      <c r="L34" s="39" t="str">
        <f>IFERROR(VLOOKUP(Table6[[#This Row],[Error Code]],'Basic Data'!$T:$U,2,0),"")</f>
        <v>Manual Stop - Safety Related</v>
      </c>
      <c r="M34" s="364" t="s">
        <v>481</v>
      </c>
      <c r="O34" s="365">
        <v>0.46527777777777779</v>
      </c>
      <c r="P34" s="365">
        <v>0.46527777777777779</v>
      </c>
      <c r="Q34" s="365">
        <v>0.54861111111111116</v>
      </c>
      <c r="R34" s="366">
        <f>IF(Table6[[#This Row],[Work Start TimeStamp]]="","",(Table6[[#This Row],[Work Start TimeStamp]]-Table6[[#This Row],[Fault Start TimeStamp]])*24)</f>
        <v>0</v>
      </c>
      <c r="S34" s="367">
        <f>(Table6[[#This Row],[Fault Clearance time]]-Table6[[#This Row],[Work Start TimeStamp]])*24</f>
        <v>2.0000000000000009</v>
      </c>
      <c r="T34" s="368">
        <f>(Table6[[#This Row],[Fault Clearance time]]-Table6[[#This Row],[Fault Start TimeStamp]])*24</f>
        <v>2.0000000000000009</v>
      </c>
      <c r="U34" s="364" t="s">
        <v>505</v>
      </c>
      <c r="V34" s="369" t="s">
        <v>463</v>
      </c>
      <c r="W34" s="354">
        <f>Table6[[#This Row],[Breakdown Time]]*(1/39)</f>
        <v>5.1282051282051301E-2</v>
      </c>
      <c r="X34" s="352" t="s">
        <v>468</v>
      </c>
      <c r="Y34" s="370" t="s">
        <v>118</v>
      </c>
      <c r="Z34" s="121">
        <v>7992</v>
      </c>
      <c r="AA34" s="123">
        <v>666.00000000000034</v>
      </c>
      <c r="AB34" s="121" t="s">
        <v>478</v>
      </c>
    </row>
    <row r="35" spans="1:28">
      <c r="A35" s="121">
        <f t="shared" si="0"/>
        <v>34</v>
      </c>
      <c r="B35" s="123">
        <f>YEAR(Table6[[#This Row],[Date]])+IF(MONTH(Table6[[#This Row],[Date]])&gt;=4,1,0)</f>
        <v>2025</v>
      </c>
      <c r="C35" s="121">
        <f>YEAR(Table6[[#This Row],[Date]])</f>
        <v>2025</v>
      </c>
      <c r="D35" s="121" t="s">
        <v>490</v>
      </c>
      <c r="E35" s="135">
        <f>Table6[[#This Row],[Date]]-DAY(Table6[[#This Row],[Date]])+1</f>
        <v>45717</v>
      </c>
      <c r="F35" s="134">
        <v>45747</v>
      </c>
      <c r="G35" s="121" t="s">
        <v>118</v>
      </c>
      <c r="H35" s="39" t="str">
        <f>_xlfn.XLOOKUP(Table6[[#This Row],[Affected WTG]],'Basic Data'!$A:$A,'Basic Data'!$B:$B)</f>
        <v>PWEGPL</v>
      </c>
      <c r="I35" s="39" t="str">
        <f>_xlfn.XLOOKUP(Table6[[#This Row],[Affected WTG]],'Basic Data'!$A:$A,'Basic Data'!$C:$C)</f>
        <v>MSEDCL</v>
      </c>
      <c r="J35" s="363">
        <f>IFERROR(VLOOKUP(Table6[[#This Row],[Affected WTG]],'Basic Data'!$A$3:$E$56,5,0),"")</f>
        <v>2.564102564102564E-2</v>
      </c>
      <c r="K35" s="121">
        <v>523</v>
      </c>
      <c r="L35" s="39" t="str">
        <f>IFERROR(VLOOKUP(Table6[[#This Row],[Error Code]],'Basic Data'!$T:$U,2,0),"")</f>
        <v>High Temperature Of Coolant In The Input Of The Cooling Circuit</v>
      </c>
      <c r="M35" s="364" t="s">
        <v>462</v>
      </c>
      <c r="O35" s="365">
        <v>0.65694444444444444</v>
      </c>
      <c r="P35" s="365">
        <v>0.65694444444444444</v>
      </c>
      <c r="Q35" s="365">
        <v>0.66041666666666665</v>
      </c>
      <c r="R35" s="366">
        <f>IF(Table6[[#This Row],[Work Start TimeStamp]]="","",(Table6[[#This Row],[Work Start TimeStamp]]-Table6[[#This Row],[Fault Start TimeStamp]])*24)</f>
        <v>0</v>
      </c>
      <c r="S35" s="367">
        <f>(Table6[[#This Row],[Fault Clearance time]]-Table6[[#This Row],[Work Start TimeStamp]])*24</f>
        <v>8.3333333333333037E-2</v>
      </c>
      <c r="T35" s="368">
        <f>(Table6[[#This Row],[Fault Clearance time]]-Table6[[#This Row],[Fault Start TimeStamp]])*24</f>
        <v>8.3333333333333037E-2</v>
      </c>
      <c r="U35" s="364" t="s">
        <v>480</v>
      </c>
      <c r="V35" s="369" t="s">
        <v>463</v>
      </c>
      <c r="W35" s="354">
        <f>Table6[[#This Row],[Breakdown Time]]*(1/39)</f>
        <v>2.1367521367521292E-3</v>
      </c>
      <c r="X35" s="352" t="s">
        <v>465</v>
      </c>
      <c r="Y35" s="370" t="s">
        <v>117</v>
      </c>
      <c r="Z35" s="121">
        <v>8994</v>
      </c>
      <c r="AA35" s="123">
        <v>31.229166666666554</v>
      </c>
      <c r="AB35" s="121" t="s">
        <v>478</v>
      </c>
    </row>
    <row r="36" spans="1:28">
      <c r="A36" s="121">
        <f t="shared" si="0"/>
        <v>35</v>
      </c>
      <c r="B36" s="123">
        <f>YEAR(Table6[[#This Row],[Date]])+IF(MONTH(Table6[[#This Row],[Date]])&gt;=4,1,0)</f>
        <v>2025</v>
      </c>
      <c r="C36" s="121">
        <f>YEAR(Table6[[#This Row],[Date]])</f>
        <v>2025</v>
      </c>
      <c r="D36" s="121" t="s">
        <v>490</v>
      </c>
      <c r="E36" s="135">
        <f>Table6[[#This Row],[Date]]-DAY(Table6[[#This Row],[Date]])+1</f>
        <v>45717</v>
      </c>
      <c r="F36" s="134">
        <v>45747</v>
      </c>
      <c r="G36" s="121" t="s">
        <v>118</v>
      </c>
      <c r="H36" s="39" t="str">
        <f>_xlfn.XLOOKUP(Table6[[#This Row],[Affected WTG]],'Basic Data'!$A:$A,'Basic Data'!$B:$B)</f>
        <v>PWEGPL</v>
      </c>
      <c r="I36" s="39" t="str">
        <f>_xlfn.XLOOKUP(Table6[[#This Row],[Affected WTG]],'Basic Data'!$A:$A,'Basic Data'!$C:$C)</f>
        <v>MSEDCL</v>
      </c>
      <c r="J36" s="363">
        <f>IFERROR(VLOOKUP(Table6[[#This Row],[Affected WTG]],'Basic Data'!$A$3:$E$56,5,0),"")</f>
        <v>2.564102564102564E-2</v>
      </c>
      <c r="K36" s="121">
        <v>5200</v>
      </c>
      <c r="L36" s="39" t="str">
        <f>IFERROR(VLOOKUP(Table6[[#This Row],[Error Code]],'Basic Data'!$T:$U,2,0),"")</f>
        <v>Magnetothermic Trigger Of The Line Protection</v>
      </c>
      <c r="M36" s="364" t="s">
        <v>462</v>
      </c>
      <c r="O36" s="365">
        <v>0.67569444444444449</v>
      </c>
      <c r="P36" s="365">
        <v>0.67569444444444449</v>
      </c>
      <c r="Q36" s="365">
        <v>0.69097222222222221</v>
      </c>
      <c r="R36" s="366">
        <f>IF(Table6[[#This Row],[Work Start TimeStamp]]="","",(Table6[[#This Row],[Work Start TimeStamp]]-Table6[[#This Row],[Fault Start TimeStamp]])*24)</f>
        <v>0</v>
      </c>
      <c r="S36" s="367">
        <f>(Table6[[#This Row],[Fault Clearance time]]-Table6[[#This Row],[Work Start TimeStamp]])*24</f>
        <v>0.36666666666666536</v>
      </c>
      <c r="T36" s="368">
        <f>(Table6[[#This Row],[Fault Clearance time]]-Table6[[#This Row],[Fault Start TimeStamp]])*24</f>
        <v>0.36666666666666536</v>
      </c>
      <c r="U36" s="364" t="s">
        <v>480</v>
      </c>
      <c r="V36" s="369" t="s">
        <v>463</v>
      </c>
      <c r="W36" s="354">
        <f>Table6[[#This Row],[Breakdown Time]]*(1/39)</f>
        <v>9.4017094017093683E-3</v>
      </c>
      <c r="X36" s="352" t="s">
        <v>465</v>
      </c>
      <c r="Y36" s="370" t="s">
        <v>117</v>
      </c>
      <c r="Z36" s="121">
        <v>8994</v>
      </c>
      <c r="AA36" s="123">
        <v>137.40833333333285</v>
      </c>
      <c r="AB36" s="121" t="s">
        <v>478</v>
      </c>
    </row>
    <row r="37" spans="1:28">
      <c r="A37" s="121">
        <f t="shared" si="0"/>
        <v>36</v>
      </c>
      <c r="B37" s="123">
        <f>YEAR(Table6[[#This Row],[Date]])+IF(MONTH(Table6[[#This Row],[Date]])&gt;=4,1,0)</f>
        <v>2025</v>
      </c>
      <c r="C37" s="121">
        <f>YEAR(Table6[[#This Row],[Date]])</f>
        <v>2025</v>
      </c>
      <c r="D37" s="121" t="s">
        <v>490</v>
      </c>
      <c r="E37" s="135">
        <f>Table6[[#This Row],[Date]]-DAY(Table6[[#This Row],[Date]])+1</f>
        <v>45717</v>
      </c>
      <c r="F37" s="134">
        <v>45747</v>
      </c>
      <c r="G37" s="121" t="s">
        <v>120</v>
      </c>
      <c r="H37" s="39" t="str">
        <f>_xlfn.XLOOKUP(Table6[[#This Row],[Affected WTG]],'Basic Data'!$A:$A,'Basic Data'!$B:$B)</f>
        <v>PWEGPL</v>
      </c>
      <c r="I37" s="39" t="str">
        <f>_xlfn.XLOOKUP(Table6[[#This Row],[Affected WTG]],'Basic Data'!$A:$A,'Basic Data'!$C:$C)</f>
        <v>MSEDCL</v>
      </c>
      <c r="J37" s="363">
        <f>IFERROR(VLOOKUP(Table6[[#This Row],[Affected WTG]],'Basic Data'!$A$3:$E$56,5,0),"")</f>
        <v>2.564102564102564E-2</v>
      </c>
      <c r="K37" s="121">
        <v>116</v>
      </c>
      <c r="L37" s="39" t="str">
        <f>IFERROR(VLOOKUP(Table6[[#This Row],[Error Code]],'Basic Data'!$T:$U,2,0),"")</f>
        <v>Orienting and High Yaw Brake Pressure</v>
      </c>
      <c r="M37" s="364" t="s">
        <v>462</v>
      </c>
      <c r="O37" s="365">
        <v>0.68888888888888888</v>
      </c>
      <c r="P37" s="365">
        <v>0.68888888888888888</v>
      </c>
      <c r="Q37" s="365">
        <v>0.69236111111111109</v>
      </c>
      <c r="R37" s="366">
        <f>IF(Table6[[#This Row],[Work Start TimeStamp]]="","",(Table6[[#This Row],[Work Start TimeStamp]]-Table6[[#This Row],[Fault Start TimeStamp]])*24)</f>
        <v>0</v>
      </c>
      <c r="S37" s="367">
        <f>(Table6[[#This Row],[Fault Clearance time]]-Table6[[#This Row],[Work Start TimeStamp]])*24</f>
        <v>8.3333333333333037E-2</v>
      </c>
      <c r="T37" s="368">
        <f>(Table6[[#This Row],[Fault Clearance time]]-Table6[[#This Row],[Fault Start TimeStamp]])*24</f>
        <v>8.3333333333333037E-2</v>
      </c>
      <c r="U37" s="364" t="s">
        <v>480</v>
      </c>
      <c r="V37" s="369" t="s">
        <v>463</v>
      </c>
      <c r="W37" s="354">
        <f>Table6[[#This Row],[Breakdown Time]]*(1/39)</f>
        <v>2.1367521367521292E-3</v>
      </c>
      <c r="X37" s="352" t="s">
        <v>465</v>
      </c>
      <c r="Y37" s="370" t="s">
        <v>117</v>
      </c>
      <c r="Z37" s="121">
        <v>8994</v>
      </c>
      <c r="AA37" s="123">
        <v>31.229166666666554</v>
      </c>
      <c r="AB37" s="121" t="s">
        <v>478</v>
      </c>
    </row>
    <row r="38" spans="1:28">
      <c r="A38" s="121">
        <f t="shared" si="0"/>
        <v>37</v>
      </c>
      <c r="B38" s="123">
        <f>YEAR(Table6[[#This Row],[Date]])+IF(MONTH(Table6[[#This Row],[Date]])&gt;=4,1,0)</f>
        <v>2025</v>
      </c>
      <c r="C38" s="121">
        <f>YEAR(Table6[[#This Row],[Date]])</f>
        <v>2025</v>
      </c>
      <c r="D38" s="121" t="s">
        <v>490</v>
      </c>
      <c r="E38" s="135">
        <f>Table6[[#This Row],[Date]]-DAY(Table6[[#This Row],[Date]])+1</f>
        <v>45717</v>
      </c>
      <c r="F38" s="134">
        <v>45747</v>
      </c>
      <c r="G38" s="121" t="s">
        <v>121</v>
      </c>
      <c r="H38" s="39" t="str">
        <f>_xlfn.XLOOKUP(Table6[[#This Row],[Affected WTG]],'Basic Data'!$A:$A,'Basic Data'!$B:$B)</f>
        <v>PWEGPL</v>
      </c>
      <c r="I38" s="39" t="str">
        <f>_xlfn.XLOOKUP(Table6[[#This Row],[Affected WTG]],'Basic Data'!$A:$A,'Basic Data'!$C:$C)</f>
        <v>MSEDCL</v>
      </c>
      <c r="J38" s="363">
        <f>IFERROR(VLOOKUP(Table6[[#This Row],[Affected WTG]],'Basic Data'!$A$3:$E$56,5,0),"")</f>
        <v>2.564102564102564E-2</v>
      </c>
      <c r="K38" s="121">
        <v>2102</v>
      </c>
      <c r="L38" s="39" t="str">
        <f>IFERROR(VLOOKUP(Table6[[#This Row],[Error Code]],'Basic Data'!$T:$U,2,0),"")</f>
        <v>PLC Module Failure</v>
      </c>
      <c r="M38" s="364" t="s">
        <v>462</v>
      </c>
      <c r="O38" s="365">
        <v>0.68819444444444444</v>
      </c>
      <c r="P38" s="365">
        <v>0.81111111111111112</v>
      </c>
      <c r="Q38" s="365">
        <v>0.81319444444444444</v>
      </c>
      <c r="R38" s="366">
        <f>IF(Table6[[#This Row],[Work Start TimeStamp]]="","",(Table6[[#This Row],[Work Start TimeStamp]]-Table6[[#This Row],[Fault Start TimeStamp]])*24)</f>
        <v>2.95</v>
      </c>
      <c r="S38" s="367">
        <f>(Table6[[#This Row],[Fault Clearance time]]-Table6[[#This Row],[Work Start TimeStamp]])*24</f>
        <v>4.9999999999999822E-2</v>
      </c>
      <c r="T38" s="368">
        <f>(Table6[[#This Row],[Fault Clearance time]]-Table6[[#This Row],[Fault Start TimeStamp]])*24</f>
        <v>3</v>
      </c>
      <c r="U38" s="364" t="s">
        <v>491</v>
      </c>
      <c r="V38" s="369" t="s">
        <v>463</v>
      </c>
      <c r="W38" s="354">
        <f>Table6[[#This Row],[Breakdown Time]]*(1/39)</f>
        <v>7.6923076923076927E-2</v>
      </c>
      <c r="X38" s="352" t="s">
        <v>465</v>
      </c>
      <c r="Y38" s="370" t="s">
        <v>115</v>
      </c>
      <c r="Z38" s="121">
        <v>9436</v>
      </c>
      <c r="AA38" s="123">
        <v>1179.5</v>
      </c>
      <c r="AB38" s="121" t="s">
        <v>478</v>
      </c>
    </row>
    <row r="39" spans="1:28">
      <c r="A39" s="121">
        <f t="shared" si="0"/>
        <v>38</v>
      </c>
      <c r="B39" s="123">
        <f>YEAR(Table6[[#This Row],[Date]])+IF(MONTH(Table6[[#This Row],[Date]])&gt;=4,1,0)</f>
        <v>2025</v>
      </c>
      <c r="C39" s="121">
        <f>YEAR(Table6[[#This Row],[Date]])</f>
        <v>2025</v>
      </c>
      <c r="D39" s="121" t="s">
        <v>490</v>
      </c>
      <c r="E39" s="135">
        <f>Table6[[#This Row],[Date]]-DAY(Table6[[#This Row],[Date]])+1</f>
        <v>45717</v>
      </c>
      <c r="F39" s="134">
        <v>45747</v>
      </c>
      <c r="G39" s="121" t="s">
        <v>121</v>
      </c>
      <c r="H39" s="39" t="str">
        <f>_xlfn.XLOOKUP(Table6[[#This Row],[Affected WTG]],'Basic Data'!$A:$A,'Basic Data'!$B:$B)</f>
        <v>PWEGPL</v>
      </c>
      <c r="I39" s="39" t="str">
        <f>_xlfn.XLOOKUP(Table6[[#This Row],[Affected WTG]],'Basic Data'!$A:$A,'Basic Data'!$C:$C)</f>
        <v>MSEDCL</v>
      </c>
      <c r="J39" s="363">
        <f>IFERROR(VLOOKUP(Table6[[#This Row],[Affected WTG]],'Basic Data'!$A$3:$E$56,5,0),"")</f>
        <v>2.564102564102564E-2</v>
      </c>
      <c r="K39" s="121">
        <v>812</v>
      </c>
      <c r="L39" s="39" t="str">
        <f>IFERROR(VLOOKUP(Table6[[#This Row],[Error Code]],'Basic Data'!$T:$U,2,0),"")</f>
        <v>Blade Position Meas. Error</v>
      </c>
      <c r="M39" s="364" t="s">
        <v>462</v>
      </c>
      <c r="O39" s="365">
        <v>0.84583333333333333</v>
      </c>
      <c r="P39" s="365">
        <v>0.84583333333333333</v>
      </c>
      <c r="Q39" s="365">
        <v>0.84930555555555554</v>
      </c>
      <c r="R39" s="366">
        <f>IF(Table6[[#This Row],[Work Start TimeStamp]]="","",(Table6[[#This Row],[Work Start TimeStamp]]-Table6[[#This Row],[Fault Start TimeStamp]])*24)</f>
        <v>0</v>
      </c>
      <c r="S39" s="367">
        <f>(Table6[[#This Row],[Fault Clearance time]]-Table6[[#This Row],[Work Start TimeStamp]])*24</f>
        <v>8.3333333333333037E-2</v>
      </c>
      <c r="T39" s="368">
        <f>(Table6[[#This Row],[Fault Clearance time]]-Table6[[#This Row],[Fault Start TimeStamp]])*24</f>
        <v>8.3333333333333037E-2</v>
      </c>
      <c r="U39" s="364" t="s">
        <v>480</v>
      </c>
      <c r="V39" s="369" t="s">
        <v>463</v>
      </c>
      <c r="W39" s="354">
        <f>Table6[[#This Row],[Breakdown Time]]*(1/39)</f>
        <v>2.1367521367521292E-3</v>
      </c>
      <c r="X39" s="352" t="s">
        <v>465</v>
      </c>
      <c r="Y39" s="370" t="s">
        <v>115</v>
      </c>
      <c r="Z39" s="121">
        <v>9436</v>
      </c>
      <c r="AA39" s="123">
        <v>32.763888888888772</v>
      </c>
      <c r="AB39" s="121" t="s">
        <v>478</v>
      </c>
    </row>
    <row r="40" spans="1:28">
      <c r="A40" s="121">
        <f t="shared" si="0"/>
        <v>39</v>
      </c>
      <c r="B40" s="123">
        <f>YEAR(Table6[[#This Row],[Date]])+IF(MONTH(Table6[[#This Row],[Date]])&gt;=4,1,0)</f>
        <v>2025</v>
      </c>
      <c r="C40" s="121">
        <f>YEAR(Table6[[#This Row],[Date]])</f>
        <v>2025</v>
      </c>
      <c r="D40" s="121" t="s">
        <v>490</v>
      </c>
      <c r="E40" s="135">
        <f>Table6[[#This Row],[Date]]-DAY(Table6[[#This Row],[Date]])+1</f>
        <v>45717</v>
      </c>
      <c r="F40" s="134">
        <v>45747</v>
      </c>
      <c r="G40" s="121" t="s">
        <v>123</v>
      </c>
      <c r="H40" s="39" t="str">
        <f>_xlfn.XLOOKUP(Table6[[#This Row],[Affected WTG]],'Basic Data'!$A:$A,'Basic Data'!$B:$B)</f>
        <v>PWEGPL</v>
      </c>
      <c r="I40" s="39" t="str">
        <f>_xlfn.XLOOKUP(Table6[[#This Row],[Affected WTG]],'Basic Data'!$A:$A,'Basic Data'!$C:$C)</f>
        <v>MSEDCL</v>
      </c>
      <c r="J40" s="363">
        <f>IFERROR(VLOOKUP(Table6[[#This Row],[Affected WTG]],'Basic Data'!$A$3:$E$56,5,0),"")</f>
        <v>2.564102564102564E-2</v>
      </c>
      <c r="K40" s="121">
        <v>222</v>
      </c>
      <c r="L40" s="39" t="str">
        <f>IFERROR(VLOOKUP(Table6[[#This Row],[Error Code]],'Basic Data'!$T:$U,2,0),"")</f>
        <v>Very Low Pressure On Hydraulic Unit</v>
      </c>
      <c r="M40" s="364" t="s">
        <v>462</v>
      </c>
      <c r="O40" s="365">
        <v>0.80555555555555558</v>
      </c>
      <c r="P40" s="365">
        <v>0.82361111111111107</v>
      </c>
      <c r="Q40" s="365">
        <v>0.82361111111111107</v>
      </c>
      <c r="R40" s="366">
        <f>IF(Table6[[#This Row],[Work Start TimeStamp]]="","",(Table6[[#This Row],[Work Start TimeStamp]]-Table6[[#This Row],[Fault Start TimeStamp]])*24)</f>
        <v>0.43333333333333179</v>
      </c>
      <c r="S40" s="367">
        <f>(Table6[[#This Row],[Fault Clearance time]]-Table6[[#This Row],[Work Start TimeStamp]])*24</f>
        <v>0</v>
      </c>
      <c r="T40" s="368">
        <f>(Table6[[#This Row],[Fault Clearance time]]-Table6[[#This Row],[Fault Start TimeStamp]])*24</f>
        <v>0.43333333333333179</v>
      </c>
      <c r="U40" s="364" t="s">
        <v>493</v>
      </c>
      <c r="V40" s="369" t="s">
        <v>463</v>
      </c>
      <c r="W40" s="354">
        <f>Table6[[#This Row],[Breakdown Time]]*(1/39)</f>
        <v>1.1111111111111072E-2</v>
      </c>
      <c r="X40" s="352" t="s">
        <v>465</v>
      </c>
      <c r="Y40" s="370" t="s">
        <v>126</v>
      </c>
      <c r="Z40" s="121">
        <v>5883</v>
      </c>
      <c r="AA40" s="123">
        <v>106.22083333333296</v>
      </c>
      <c r="AB40" s="121" t="s">
        <v>478</v>
      </c>
    </row>
    <row r="41" spans="1:28">
      <c r="A41" s="121">
        <f t="shared" si="0"/>
        <v>40</v>
      </c>
      <c r="B41" s="123">
        <f>YEAR(Table6[[#This Row],[Date]])+IF(MONTH(Table6[[#This Row],[Date]])&gt;=4,1,0)</f>
        <v>2025</v>
      </c>
      <c r="C41" s="121">
        <f>YEAR(Table6[[#This Row],[Date]])</f>
        <v>2025</v>
      </c>
      <c r="D41" s="121" t="s">
        <v>490</v>
      </c>
      <c r="E41" s="135">
        <f>Table6[[#This Row],[Date]]-DAY(Table6[[#This Row],[Date]])+1</f>
        <v>45717</v>
      </c>
      <c r="F41" s="134">
        <v>45747</v>
      </c>
      <c r="G41" s="121" t="s">
        <v>124</v>
      </c>
      <c r="H41" s="39" t="str">
        <f>_xlfn.XLOOKUP(Table6[[#This Row],[Affected WTG]],'Basic Data'!$A:$A,'Basic Data'!$B:$B)</f>
        <v>PWEGPL</v>
      </c>
      <c r="I41" s="39" t="str">
        <f>_xlfn.XLOOKUP(Table6[[#This Row],[Affected WTG]],'Basic Data'!$A:$A,'Basic Data'!$C:$C)</f>
        <v>MSEDCL</v>
      </c>
      <c r="J41" s="363">
        <f>IFERROR(VLOOKUP(Table6[[#This Row],[Affected WTG]],'Basic Data'!$A$3:$E$56,5,0),"")</f>
        <v>2.564102564102564E-2</v>
      </c>
      <c r="K41" s="121">
        <v>527</v>
      </c>
      <c r="L41" s="39" t="str">
        <f>IFERROR(VLOOKUP(Table6[[#This Row],[Error Code]],'Basic Data'!$T:$U,2,0),"")</f>
        <v>High Temperature Of Upper Radiator</v>
      </c>
      <c r="M41" s="364" t="s">
        <v>462</v>
      </c>
      <c r="O41" s="365">
        <v>0.69027777777777777</v>
      </c>
      <c r="P41" s="365">
        <v>0.69027777777777777</v>
      </c>
      <c r="Q41" s="365">
        <v>0.69374999999999998</v>
      </c>
      <c r="R41" s="366">
        <f>IF(Table6[[#This Row],[Work Start TimeStamp]]="","",(Table6[[#This Row],[Work Start TimeStamp]]-Table6[[#This Row],[Fault Start TimeStamp]])*24)</f>
        <v>0</v>
      </c>
      <c r="S41" s="367">
        <f>(Table6[[#This Row],[Fault Clearance time]]-Table6[[#This Row],[Work Start TimeStamp]])*24</f>
        <v>8.3333333333333037E-2</v>
      </c>
      <c r="T41" s="368">
        <f>(Table6[[#This Row],[Fault Clearance time]]-Table6[[#This Row],[Fault Start TimeStamp]])*24</f>
        <v>8.3333333333333037E-2</v>
      </c>
      <c r="U41" s="364" t="s">
        <v>480</v>
      </c>
      <c r="V41" s="369" t="s">
        <v>463</v>
      </c>
      <c r="W41" s="354">
        <f>Table6[[#This Row],[Breakdown Time]]*(1/39)</f>
        <v>2.1367521367521292E-3</v>
      </c>
      <c r="X41" s="352" t="s">
        <v>465</v>
      </c>
      <c r="Y41" s="370" t="s">
        <v>125</v>
      </c>
      <c r="Z41" s="121">
        <v>9876</v>
      </c>
      <c r="AA41" s="123">
        <v>34.291666666666544</v>
      </c>
      <c r="AB41" s="121" t="s">
        <v>478</v>
      </c>
    </row>
    <row r="42" spans="1:28">
      <c r="A42" s="121">
        <f t="shared" si="0"/>
        <v>41</v>
      </c>
      <c r="B42" s="123">
        <f>YEAR(Table6[[#This Row],[Date]])+IF(MONTH(Table6[[#This Row],[Date]])&gt;=4,1,0)</f>
        <v>2025</v>
      </c>
      <c r="C42" s="121">
        <f>YEAR(Table6[[#This Row],[Date]])</f>
        <v>2025</v>
      </c>
      <c r="D42" s="121" t="s">
        <v>490</v>
      </c>
      <c r="E42" s="135">
        <f>Table6[[#This Row],[Date]]-DAY(Table6[[#This Row],[Date]])+1</f>
        <v>45717</v>
      </c>
      <c r="F42" s="134">
        <v>45747</v>
      </c>
      <c r="G42" s="121" t="s">
        <v>124</v>
      </c>
      <c r="H42" s="39" t="str">
        <f>_xlfn.XLOOKUP(Table6[[#This Row],[Affected WTG]],'Basic Data'!$A:$A,'Basic Data'!$B:$B)</f>
        <v>PWEGPL</v>
      </c>
      <c r="I42" s="39" t="str">
        <f>_xlfn.XLOOKUP(Table6[[#This Row],[Affected WTG]],'Basic Data'!$A:$A,'Basic Data'!$C:$C)</f>
        <v>MSEDCL</v>
      </c>
      <c r="J42" s="363">
        <f>IFERROR(VLOOKUP(Table6[[#This Row],[Affected WTG]],'Basic Data'!$A$3:$E$56,5,0),"")</f>
        <v>2.564102564102564E-2</v>
      </c>
      <c r="K42" s="121">
        <v>527</v>
      </c>
      <c r="L42" s="39" t="str">
        <f>IFERROR(VLOOKUP(Table6[[#This Row],[Error Code]],'Basic Data'!$T:$U,2,0),"")</f>
        <v>High Temperature Of Upper Radiator</v>
      </c>
      <c r="M42" s="364" t="s">
        <v>462</v>
      </c>
      <c r="O42" s="365">
        <v>0.71736111111111112</v>
      </c>
      <c r="P42" s="365">
        <v>0.71736111111111112</v>
      </c>
      <c r="Q42" s="365">
        <v>0.72083333333333333</v>
      </c>
      <c r="R42" s="366">
        <f>IF(Table6[[#This Row],[Work Start TimeStamp]]="","",(Table6[[#This Row],[Work Start TimeStamp]]-Table6[[#This Row],[Fault Start TimeStamp]])*24)</f>
        <v>0</v>
      </c>
      <c r="S42" s="367">
        <f>(Table6[[#This Row],[Fault Clearance time]]-Table6[[#This Row],[Work Start TimeStamp]])*24</f>
        <v>8.3333333333333037E-2</v>
      </c>
      <c r="T42" s="368">
        <f>(Table6[[#This Row],[Fault Clearance time]]-Table6[[#This Row],[Fault Start TimeStamp]])*24</f>
        <v>8.3333333333333037E-2</v>
      </c>
      <c r="U42" s="364" t="s">
        <v>480</v>
      </c>
      <c r="V42" s="369" t="s">
        <v>463</v>
      </c>
      <c r="W42" s="354">
        <f>Table6[[#This Row],[Breakdown Time]]*(1/39)</f>
        <v>2.1367521367521292E-3</v>
      </c>
      <c r="X42" s="352" t="s">
        <v>465</v>
      </c>
      <c r="Y42" s="370" t="s">
        <v>125</v>
      </c>
      <c r="Z42" s="121">
        <v>9876</v>
      </c>
      <c r="AA42" s="123">
        <v>34.291666666666544</v>
      </c>
      <c r="AB42" s="121" t="s">
        <v>478</v>
      </c>
    </row>
    <row r="43" spans="1:28">
      <c r="A43" s="121">
        <f t="shared" si="0"/>
        <v>42</v>
      </c>
      <c r="B43" s="123">
        <f>YEAR(Table6[[#This Row],[Date]])+IF(MONTH(Table6[[#This Row],[Date]])&gt;=4,1,0)</f>
        <v>2025</v>
      </c>
      <c r="C43" s="121">
        <f>YEAR(Table6[[#This Row],[Date]])</f>
        <v>2025</v>
      </c>
      <c r="D43" s="121" t="s">
        <v>490</v>
      </c>
      <c r="E43" s="135">
        <f>Table6[[#This Row],[Date]]-DAY(Table6[[#This Row],[Date]])+1</f>
        <v>45717</v>
      </c>
      <c r="F43" s="134">
        <v>45747</v>
      </c>
      <c r="G43" s="121" t="s">
        <v>124</v>
      </c>
      <c r="H43" s="39" t="str">
        <f>_xlfn.XLOOKUP(Table6[[#This Row],[Affected WTG]],'Basic Data'!$A:$A,'Basic Data'!$B:$B)</f>
        <v>PWEGPL</v>
      </c>
      <c r="I43" s="39" t="str">
        <f>_xlfn.XLOOKUP(Table6[[#This Row],[Affected WTG]],'Basic Data'!$A:$A,'Basic Data'!$C:$C)</f>
        <v>MSEDCL</v>
      </c>
      <c r="J43" s="363">
        <f>IFERROR(VLOOKUP(Table6[[#This Row],[Affected WTG]],'Basic Data'!$A$3:$E$56,5,0),"")</f>
        <v>2.564102564102564E-2</v>
      </c>
      <c r="K43" s="121">
        <v>527</v>
      </c>
      <c r="L43" s="39" t="str">
        <f>IFERROR(VLOOKUP(Table6[[#This Row],[Error Code]],'Basic Data'!$T:$U,2,0),"")</f>
        <v>High Temperature Of Upper Radiator</v>
      </c>
      <c r="M43" s="364" t="s">
        <v>462</v>
      </c>
      <c r="O43" s="365">
        <v>0.72916666666666663</v>
      </c>
      <c r="P43" s="365">
        <v>0.72916666666666663</v>
      </c>
      <c r="Q43" s="365">
        <v>0.73263888888888884</v>
      </c>
      <c r="R43" s="366">
        <f>IF(Table6[[#This Row],[Work Start TimeStamp]]="","",(Table6[[#This Row],[Work Start TimeStamp]]-Table6[[#This Row],[Fault Start TimeStamp]])*24)</f>
        <v>0</v>
      </c>
      <c r="S43" s="367">
        <f>(Table6[[#This Row],[Fault Clearance time]]-Table6[[#This Row],[Work Start TimeStamp]])*24</f>
        <v>8.3333333333333037E-2</v>
      </c>
      <c r="T43" s="368">
        <f>(Table6[[#This Row],[Fault Clearance time]]-Table6[[#This Row],[Fault Start TimeStamp]])*24</f>
        <v>8.3333333333333037E-2</v>
      </c>
      <c r="U43" s="364" t="s">
        <v>480</v>
      </c>
      <c r="V43" s="369" t="s">
        <v>463</v>
      </c>
      <c r="W43" s="354">
        <f>Table6[[#This Row],[Breakdown Time]]*(1/39)</f>
        <v>2.1367521367521292E-3</v>
      </c>
      <c r="X43" s="352" t="s">
        <v>465</v>
      </c>
      <c r="Y43" s="370" t="s">
        <v>125</v>
      </c>
      <c r="Z43" s="121">
        <v>9876</v>
      </c>
      <c r="AA43" s="123">
        <v>34.291666666666544</v>
      </c>
      <c r="AB43" s="121" t="s">
        <v>478</v>
      </c>
    </row>
    <row r="44" spans="1:28">
      <c r="A44" s="121">
        <f t="shared" si="0"/>
        <v>43</v>
      </c>
      <c r="B44" s="123">
        <f>YEAR(Table6[[#This Row],[Date]])+IF(MONTH(Table6[[#This Row],[Date]])&gt;=4,1,0)</f>
        <v>2025</v>
      </c>
      <c r="C44" s="121">
        <f>YEAR(Table6[[#This Row],[Date]])</f>
        <v>2025</v>
      </c>
      <c r="D44" s="121" t="s">
        <v>490</v>
      </c>
      <c r="E44" s="135">
        <f>Table6[[#This Row],[Date]]-DAY(Table6[[#This Row],[Date]])+1</f>
        <v>45717</v>
      </c>
      <c r="F44" s="134">
        <v>45747</v>
      </c>
      <c r="G44" s="121" t="s">
        <v>124</v>
      </c>
      <c r="H44" s="39" t="str">
        <f>_xlfn.XLOOKUP(Table6[[#This Row],[Affected WTG]],'Basic Data'!$A:$A,'Basic Data'!$B:$B)</f>
        <v>PWEGPL</v>
      </c>
      <c r="I44" s="39" t="str">
        <f>_xlfn.XLOOKUP(Table6[[#This Row],[Affected WTG]],'Basic Data'!$A:$A,'Basic Data'!$C:$C)</f>
        <v>MSEDCL</v>
      </c>
      <c r="J44" s="363">
        <f>IFERROR(VLOOKUP(Table6[[#This Row],[Affected WTG]],'Basic Data'!$A$3:$E$56,5,0),"")</f>
        <v>2.564102564102564E-2</v>
      </c>
      <c r="K44" s="121">
        <v>527</v>
      </c>
      <c r="L44" s="39" t="str">
        <f>IFERROR(VLOOKUP(Table6[[#This Row],[Error Code]],'Basic Data'!$T:$U,2,0),"")</f>
        <v>High Temperature Of Upper Radiator</v>
      </c>
      <c r="M44" s="364" t="s">
        <v>462</v>
      </c>
      <c r="O44" s="365">
        <v>0.78749999999999998</v>
      </c>
      <c r="P44" s="365">
        <v>0.82291666666666663</v>
      </c>
      <c r="Q44" s="365">
        <v>0.82291666666666663</v>
      </c>
      <c r="R44" s="366">
        <f>IF(Table6[[#This Row],[Work Start TimeStamp]]="","",(Table6[[#This Row],[Work Start TimeStamp]]-Table6[[#This Row],[Fault Start TimeStamp]])*24)</f>
        <v>0.84999999999999964</v>
      </c>
      <c r="S44" s="367">
        <f>(Table6[[#This Row],[Fault Clearance time]]-Table6[[#This Row],[Work Start TimeStamp]])*24</f>
        <v>0</v>
      </c>
      <c r="T44" s="368">
        <f>(Table6[[#This Row],[Fault Clearance time]]-Table6[[#This Row],[Fault Start TimeStamp]])*24</f>
        <v>0.84999999999999964</v>
      </c>
      <c r="U44" s="364" t="s">
        <v>493</v>
      </c>
      <c r="V44" s="369" t="s">
        <v>463</v>
      </c>
      <c r="W44" s="354">
        <f>Table6[[#This Row],[Breakdown Time]]*(1/39)</f>
        <v>2.1794871794871783E-2</v>
      </c>
      <c r="X44" s="352" t="s">
        <v>465</v>
      </c>
      <c r="Y44" s="370" t="s">
        <v>125</v>
      </c>
      <c r="Z44" s="121">
        <v>9876</v>
      </c>
      <c r="AA44" s="123">
        <v>349.77499999999986</v>
      </c>
      <c r="AB44" s="121" t="s">
        <v>478</v>
      </c>
    </row>
    <row r="45" spans="1:28">
      <c r="A45" s="121">
        <f t="shared" si="0"/>
        <v>44</v>
      </c>
      <c r="B45" s="123">
        <f>YEAR(Table6[[#This Row],[Date]])+IF(MONTH(Table6[[#This Row],[Date]])&gt;=4,1,0)</f>
        <v>2025</v>
      </c>
      <c r="C45" s="121">
        <f>YEAR(Table6[[#This Row],[Date]])</f>
        <v>2025</v>
      </c>
      <c r="D45" s="121" t="s">
        <v>490</v>
      </c>
      <c r="E45" s="135">
        <f>Table6[[#This Row],[Date]]-DAY(Table6[[#This Row],[Date]])+1</f>
        <v>45717</v>
      </c>
      <c r="F45" s="134">
        <v>45747</v>
      </c>
      <c r="G45" s="121" t="s">
        <v>125</v>
      </c>
      <c r="H45" s="39" t="str">
        <f>_xlfn.XLOOKUP(Table6[[#This Row],[Affected WTG]],'Basic Data'!$A:$A,'Basic Data'!$B:$B)</f>
        <v>PWEGPL</v>
      </c>
      <c r="I45" s="39" t="str">
        <f>_xlfn.XLOOKUP(Table6[[#This Row],[Affected WTG]],'Basic Data'!$A:$A,'Basic Data'!$C:$C)</f>
        <v>MSEDCL</v>
      </c>
      <c r="J45" s="363">
        <f>IFERROR(VLOOKUP(Table6[[#This Row],[Affected WTG]],'Basic Data'!$A$3:$E$56,5,0),"")</f>
        <v>2.564102564102564E-2</v>
      </c>
      <c r="K45" s="121">
        <v>116</v>
      </c>
      <c r="L45" s="39" t="str">
        <f>IFERROR(VLOOKUP(Table6[[#This Row],[Error Code]],'Basic Data'!$T:$U,2,0),"")</f>
        <v>Orienting and High Yaw Brake Pressure</v>
      </c>
      <c r="M45" s="364" t="s">
        <v>462</v>
      </c>
      <c r="O45" s="365">
        <v>0.69305555555555554</v>
      </c>
      <c r="P45" s="365">
        <v>0.69305555555555554</v>
      </c>
      <c r="Q45" s="365">
        <v>0.69652777777777775</v>
      </c>
      <c r="R45" s="366">
        <f>IF(Table6[[#This Row],[Work Start TimeStamp]]="","",(Table6[[#This Row],[Work Start TimeStamp]]-Table6[[#This Row],[Fault Start TimeStamp]])*24)</f>
        <v>0</v>
      </c>
      <c r="S45" s="367">
        <f>(Table6[[#This Row],[Fault Clearance time]]-Table6[[#This Row],[Work Start TimeStamp]])*24</f>
        <v>8.3333333333333037E-2</v>
      </c>
      <c r="T45" s="368">
        <f>(Table6[[#This Row],[Fault Clearance time]]-Table6[[#This Row],[Fault Start TimeStamp]])*24</f>
        <v>8.3333333333333037E-2</v>
      </c>
      <c r="U45" s="364" t="s">
        <v>480</v>
      </c>
      <c r="V45" s="369" t="s">
        <v>463</v>
      </c>
      <c r="W45" s="354">
        <f>Table6[[#This Row],[Breakdown Time]]*(1/39)</f>
        <v>2.1367521367521292E-3</v>
      </c>
      <c r="X45" s="352" t="s">
        <v>465</v>
      </c>
      <c r="Y45" s="370" t="s">
        <v>124</v>
      </c>
      <c r="Z45" s="121">
        <v>7384</v>
      </c>
      <c r="AA45" s="123">
        <v>25.6388888888888</v>
      </c>
      <c r="AB45" s="121" t="s">
        <v>478</v>
      </c>
    </row>
    <row r="46" spans="1:28">
      <c r="A46" s="121">
        <f t="shared" si="0"/>
        <v>45</v>
      </c>
      <c r="B46" s="123">
        <f>YEAR(Table6[[#This Row],[Date]])+IF(MONTH(Table6[[#This Row],[Date]])&gt;=4,1,0)</f>
        <v>2025</v>
      </c>
      <c r="C46" s="121">
        <f>YEAR(Table6[[#This Row],[Date]])</f>
        <v>2025</v>
      </c>
      <c r="D46" s="121" t="s">
        <v>490</v>
      </c>
      <c r="E46" s="135">
        <f>Table6[[#This Row],[Date]]-DAY(Table6[[#This Row],[Date]])+1</f>
        <v>45717</v>
      </c>
      <c r="F46" s="134">
        <v>45747</v>
      </c>
      <c r="G46" s="121" t="s">
        <v>126</v>
      </c>
      <c r="H46" s="39" t="str">
        <f>_xlfn.XLOOKUP(Table6[[#This Row],[Affected WTG]],'Basic Data'!$A:$A,'Basic Data'!$B:$B)</f>
        <v>PWEGPL</v>
      </c>
      <c r="I46" s="39" t="str">
        <f>_xlfn.XLOOKUP(Table6[[#This Row],[Affected WTG]],'Basic Data'!$A:$A,'Basic Data'!$C:$C)</f>
        <v>MSEDCL</v>
      </c>
      <c r="J46" s="363">
        <f>IFERROR(VLOOKUP(Table6[[#This Row],[Affected WTG]],'Basic Data'!$A$3:$E$56,5,0),"")</f>
        <v>2.564102564102564E-2</v>
      </c>
      <c r="K46" s="121">
        <v>203</v>
      </c>
      <c r="L46" s="39" t="str">
        <f>IFERROR(VLOOKUP(Table6[[#This Row],[Error Code]],'Basic Data'!$T:$U,2,0),"")</f>
        <v>Low Pressure On Hydraulic Group</v>
      </c>
      <c r="M46" s="364" t="s">
        <v>462</v>
      </c>
      <c r="O46" s="365">
        <v>0.68402777777777779</v>
      </c>
      <c r="P46" s="365">
        <v>0.68402777777777779</v>
      </c>
      <c r="Q46" s="365">
        <v>0.68680555555555556</v>
      </c>
      <c r="R46" s="366">
        <f>IF(Table6[[#This Row],[Work Start TimeStamp]]="","",(Table6[[#This Row],[Work Start TimeStamp]]-Table6[[#This Row],[Fault Start TimeStamp]])*24)</f>
        <v>0</v>
      </c>
      <c r="S46" s="367">
        <f>(Table6[[#This Row],[Fault Clearance time]]-Table6[[#This Row],[Work Start TimeStamp]])*24</f>
        <v>6.666666666666643E-2</v>
      </c>
      <c r="T46" s="368">
        <f>(Table6[[#This Row],[Fault Clearance time]]-Table6[[#This Row],[Fault Start TimeStamp]])*24</f>
        <v>6.666666666666643E-2</v>
      </c>
      <c r="U46" s="364" t="s">
        <v>480</v>
      </c>
      <c r="V46" s="369" t="s">
        <v>463</v>
      </c>
      <c r="W46" s="354">
        <f>Table6[[#This Row],[Breakdown Time]]*(1/39)</f>
        <v>1.7094017094017033E-3</v>
      </c>
      <c r="X46" s="352" t="s">
        <v>465</v>
      </c>
      <c r="Y46" s="370" t="s">
        <v>127</v>
      </c>
      <c r="Z46" s="121">
        <v>7698</v>
      </c>
      <c r="AA46" s="123">
        <v>21.383333333333258</v>
      </c>
      <c r="AB46" s="121" t="s">
        <v>478</v>
      </c>
    </row>
    <row r="47" spans="1:28">
      <c r="A47" s="121">
        <f t="shared" si="0"/>
        <v>46</v>
      </c>
      <c r="B47" s="123">
        <f>YEAR(Table6[[#This Row],[Date]])+IF(MONTH(Table6[[#This Row],[Date]])&gt;=4,1,0)</f>
        <v>2025</v>
      </c>
      <c r="C47" s="121">
        <f>YEAR(Table6[[#This Row],[Date]])</f>
        <v>2025</v>
      </c>
      <c r="D47" s="121" t="s">
        <v>490</v>
      </c>
      <c r="E47" s="135">
        <f>Table6[[#This Row],[Date]]-DAY(Table6[[#This Row],[Date]])+1</f>
        <v>45717</v>
      </c>
      <c r="F47" s="134">
        <v>45747</v>
      </c>
      <c r="G47" s="121" t="s">
        <v>126</v>
      </c>
      <c r="H47" s="39" t="str">
        <f>_xlfn.XLOOKUP(Table6[[#This Row],[Affected WTG]],'Basic Data'!$A:$A,'Basic Data'!$B:$B)</f>
        <v>PWEGPL</v>
      </c>
      <c r="I47" s="39" t="str">
        <f>_xlfn.XLOOKUP(Table6[[#This Row],[Affected WTG]],'Basic Data'!$A:$A,'Basic Data'!$C:$C)</f>
        <v>MSEDCL</v>
      </c>
      <c r="J47" s="363">
        <f>IFERROR(VLOOKUP(Table6[[#This Row],[Affected WTG]],'Basic Data'!$A$3:$E$56,5,0),"")</f>
        <v>2.564102564102564E-2</v>
      </c>
      <c r="K47" s="121">
        <v>5210</v>
      </c>
      <c r="L47" s="39" t="str">
        <f>IFERROR(VLOOKUP(Table6[[#This Row],[Error Code]],'Basic Data'!$T:$U,2,0),"")</f>
        <v>Failure Of The Contactor's Rotor Power</v>
      </c>
      <c r="M47" s="364" t="s">
        <v>462</v>
      </c>
      <c r="O47" s="365">
        <v>0.68819444444444444</v>
      </c>
      <c r="P47" s="365">
        <v>0.68819444444444444</v>
      </c>
      <c r="Q47" s="365">
        <v>0.70138888888888884</v>
      </c>
      <c r="R47" s="366">
        <f>IF(Table6[[#This Row],[Work Start TimeStamp]]="","",(Table6[[#This Row],[Work Start TimeStamp]]-Table6[[#This Row],[Fault Start TimeStamp]])*24)</f>
        <v>0</v>
      </c>
      <c r="S47" s="367">
        <f>(Table6[[#This Row],[Fault Clearance time]]-Table6[[#This Row],[Work Start TimeStamp]])*24</f>
        <v>0.31666666666666554</v>
      </c>
      <c r="T47" s="368">
        <f>(Table6[[#This Row],[Fault Clearance time]]-Table6[[#This Row],[Fault Start TimeStamp]])*24</f>
        <v>0.31666666666666554</v>
      </c>
      <c r="U47" s="364" t="s">
        <v>493</v>
      </c>
      <c r="V47" s="369" t="s">
        <v>463</v>
      </c>
      <c r="W47" s="354">
        <f>Table6[[#This Row],[Breakdown Time]]*(1/39)</f>
        <v>8.1196581196580908E-3</v>
      </c>
      <c r="X47" s="352" t="s">
        <v>465</v>
      </c>
      <c r="Y47" s="370" t="s">
        <v>127</v>
      </c>
      <c r="Z47" s="121">
        <v>7698</v>
      </c>
      <c r="AA47" s="123">
        <v>101.57083333333297</v>
      </c>
      <c r="AB47" s="121" t="s">
        <v>478</v>
      </c>
    </row>
    <row r="48" spans="1:28">
      <c r="A48" s="121">
        <f t="shared" si="0"/>
        <v>47</v>
      </c>
      <c r="B48" s="123">
        <f>YEAR(Table6[[#This Row],[Date]])+IF(MONTH(Table6[[#This Row],[Date]])&gt;=4,1,0)</f>
        <v>2025</v>
      </c>
      <c r="C48" s="121">
        <f>YEAR(Table6[[#This Row],[Date]])</f>
        <v>2025</v>
      </c>
      <c r="D48" s="121" t="s">
        <v>490</v>
      </c>
      <c r="E48" s="135">
        <f>Table6[[#This Row],[Date]]-DAY(Table6[[#This Row],[Date]])+1</f>
        <v>45717</v>
      </c>
      <c r="F48" s="134">
        <v>45747</v>
      </c>
      <c r="G48" s="121" t="s">
        <v>126</v>
      </c>
      <c r="H48" s="39" t="str">
        <f>_xlfn.XLOOKUP(Table6[[#This Row],[Affected WTG]],'Basic Data'!$A:$A,'Basic Data'!$B:$B)</f>
        <v>PWEGPL</v>
      </c>
      <c r="I48" s="39" t="str">
        <f>_xlfn.XLOOKUP(Table6[[#This Row],[Affected WTG]],'Basic Data'!$A:$A,'Basic Data'!$C:$C)</f>
        <v>MSEDCL</v>
      </c>
      <c r="J48" s="363">
        <f>IFERROR(VLOOKUP(Table6[[#This Row],[Affected WTG]],'Basic Data'!$A$3:$E$56,5,0),"")</f>
        <v>2.564102564102564E-2</v>
      </c>
      <c r="K48" s="121">
        <v>203</v>
      </c>
      <c r="L48" s="39" t="str">
        <f>IFERROR(VLOOKUP(Table6[[#This Row],[Error Code]],'Basic Data'!$T:$U,2,0),"")</f>
        <v>Low Pressure On Hydraulic Group</v>
      </c>
      <c r="M48" s="364" t="s">
        <v>462</v>
      </c>
      <c r="O48" s="365">
        <v>0.70277777777777772</v>
      </c>
      <c r="P48" s="365">
        <v>0.70277777777777772</v>
      </c>
      <c r="Q48" s="365">
        <v>0.75347222222222221</v>
      </c>
      <c r="R48" s="366">
        <f>IF(Table6[[#This Row],[Work Start TimeStamp]]="","",(Table6[[#This Row],[Work Start TimeStamp]]-Table6[[#This Row],[Fault Start TimeStamp]])*24)</f>
        <v>0</v>
      </c>
      <c r="S48" s="367">
        <f>(Table6[[#This Row],[Fault Clearance time]]-Table6[[#This Row],[Work Start TimeStamp]])*24</f>
        <v>1.2166666666666677</v>
      </c>
      <c r="T48" s="368">
        <f>(Table6[[#This Row],[Fault Clearance time]]-Table6[[#This Row],[Fault Start TimeStamp]])*24</f>
        <v>1.2166666666666677</v>
      </c>
      <c r="U48" s="364" t="s">
        <v>493</v>
      </c>
      <c r="V48" s="369" t="s">
        <v>463</v>
      </c>
      <c r="W48" s="354">
        <f>Table6[[#This Row],[Breakdown Time]]*(1/39)</f>
        <v>3.1196581196581221E-2</v>
      </c>
      <c r="X48" s="352" t="s">
        <v>465</v>
      </c>
      <c r="Y48" s="370" t="s">
        <v>127</v>
      </c>
      <c r="Z48" s="121">
        <v>7698</v>
      </c>
      <c r="AA48" s="123">
        <v>390.24583333333368</v>
      </c>
      <c r="AB48" s="121" t="s">
        <v>478</v>
      </c>
    </row>
    <row r="49" spans="1:28">
      <c r="A49" s="121">
        <f t="shared" si="0"/>
        <v>48</v>
      </c>
      <c r="B49" s="123">
        <f>YEAR(Table6[[#This Row],[Date]])+IF(MONTH(Table6[[#This Row],[Date]])&gt;=4,1,0)</f>
        <v>2025</v>
      </c>
      <c r="C49" s="121">
        <f>YEAR(Table6[[#This Row],[Date]])</f>
        <v>2025</v>
      </c>
      <c r="D49" s="121" t="s">
        <v>490</v>
      </c>
      <c r="E49" s="135">
        <f>Table6[[#This Row],[Date]]-DAY(Table6[[#This Row],[Date]])+1</f>
        <v>45717</v>
      </c>
      <c r="F49" s="134">
        <v>45747</v>
      </c>
      <c r="G49" s="121" t="s">
        <v>126</v>
      </c>
      <c r="H49" s="39" t="str">
        <f>_xlfn.XLOOKUP(Table6[[#This Row],[Affected WTG]],'Basic Data'!$A:$A,'Basic Data'!$B:$B)</f>
        <v>PWEGPL</v>
      </c>
      <c r="I49" s="39" t="str">
        <f>_xlfn.XLOOKUP(Table6[[#This Row],[Affected WTG]],'Basic Data'!$A:$A,'Basic Data'!$C:$C)</f>
        <v>MSEDCL</v>
      </c>
      <c r="J49" s="363">
        <f>IFERROR(VLOOKUP(Table6[[#This Row],[Affected WTG]],'Basic Data'!$A$3:$E$56,5,0),"")</f>
        <v>2.564102564102564E-2</v>
      </c>
      <c r="K49" s="121">
        <v>812</v>
      </c>
      <c r="L49" s="39" t="str">
        <f>IFERROR(VLOOKUP(Table6[[#This Row],[Error Code]],'Basic Data'!$T:$U,2,0),"")</f>
        <v>Blade Position Meas. Error</v>
      </c>
      <c r="M49" s="364" t="s">
        <v>462</v>
      </c>
      <c r="O49" s="365">
        <v>0.76388888888888884</v>
      </c>
      <c r="P49" s="365">
        <v>0.76388888888888884</v>
      </c>
      <c r="Q49" s="365">
        <v>0.77083333333333337</v>
      </c>
      <c r="R49" s="366">
        <f>IF(Table6[[#This Row],[Work Start TimeStamp]]="","",(Table6[[#This Row],[Work Start TimeStamp]]-Table6[[#This Row],[Fault Start TimeStamp]])*24)</f>
        <v>0</v>
      </c>
      <c r="S49" s="367">
        <f>(Table6[[#This Row],[Fault Clearance time]]-Table6[[#This Row],[Work Start TimeStamp]])*24</f>
        <v>0.16666666666666874</v>
      </c>
      <c r="T49" s="368">
        <f>(Table6[[#This Row],[Fault Clearance time]]-Table6[[#This Row],[Fault Start TimeStamp]])*24</f>
        <v>0.16666666666666874</v>
      </c>
      <c r="U49" s="364" t="s">
        <v>480</v>
      </c>
      <c r="V49" s="369" t="s">
        <v>463</v>
      </c>
      <c r="W49" s="354">
        <f>Table6[[#This Row],[Breakdown Time]]*(1/39)</f>
        <v>4.2735042735043268E-3</v>
      </c>
      <c r="X49" s="352" t="s">
        <v>465</v>
      </c>
      <c r="Y49" s="370" t="s">
        <v>127</v>
      </c>
      <c r="Z49" s="121">
        <v>7698</v>
      </c>
      <c r="AA49" s="123">
        <v>53.458333333333997</v>
      </c>
      <c r="AB49" s="121" t="s">
        <v>478</v>
      </c>
    </row>
    <row r="50" spans="1:28">
      <c r="A50" s="121">
        <f t="shared" si="0"/>
        <v>49</v>
      </c>
      <c r="B50" s="123">
        <f>YEAR(Table6[[#This Row],[Date]])+IF(MONTH(Table6[[#This Row],[Date]])&gt;=4,1,0)</f>
        <v>2025</v>
      </c>
      <c r="C50" s="121">
        <f>YEAR(Table6[[#This Row],[Date]])</f>
        <v>2025</v>
      </c>
      <c r="D50" s="121" t="s">
        <v>490</v>
      </c>
      <c r="E50" s="135">
        <f>Table6[[#This Row],[Date]]-DAY(Table6[[#This Row],[Date]])+1</f>
        <v>45717</v>
      </c>
      <c r="F50" s="134">
        <v>45747</v>
      </c>
      <c r="G50" s="121" t="s">
        <v>126</v>
      </c>
      <c r="H50" s="39" t="str">
        <f>_xlfn.XLOOKUP(Table6[[#This Row],[Affected WTG]],'Basic Data'!$A:$A,'Basic Data'!$B:$B)</f>
        <v>PWEGPL</v>
      </c>
      <c r="I50" s="39" t="str">
        <f>_xlfn.XLOOKUP(Table6[[#This Row],[Affected WTG]],'Basic Data'!$A:$A,'Basic Data'!$C:$C)</f>
        <v>MSEDCL</v>
      </c>
      <c r="J50" s="363">
        <f>IFERROR(VLOOKUP(Table6[[#This Row],[Affected WTG]],'Basic Data'!$A$3:$E$56,5,0),"")</f>
        <v>2.564102564102564E-2</v>
      </c>
      <c r="K50" s="121">
        <v>203</v>
      </c>
      <c r="L50" s="39" t="str">
        <f>IFERROR(VLOOKUP(Table6[[#This Row],[Error Code]],'Basic Data'!$T:$U,2,0),"")</f>
        <v>Low Pressure On Hydraulic Group</v>
      </c>
      <c r="M50" s="364" t="s">
        <v>462</v>
      </c>
      <c r="O50" s="365">
        <v>0.84513888888888888</v>
      </c>
      <c r="P50" s="365">
        <v>0.9145833333333333</v>
      </c>
      <c r="Q50" s="365">
        <v>0.92777777777777781</v>
      </c>
      <c r="R50" s="366">
        <f>IF(Table6[[#This Row],[Work Start TimeStamp]]="","",(Table6[[#This Row],[Work Start TimeStamp]]-Table6[[#This Row],[Fault Start TimeStamp]])*24)</f>
        <v>1.6666666666666661</v>
      </c>
      <c r="S50" s="367">
        <f>(Table6[[#This Row],[Fault Clearance time]]-Table6[[#This Row],[Work Start TimeStamp]])*24</f>
        <v>0.31666666666666821</v>
      </c>
      <c r="T50" s="368">
        <f>(Table6[[#This Row],[Fault Clearance time]]-Table6[[#This Row],[Fault Start TimeStamp]])*24</f>
        <v>1.9833333333333343</v>
      </c>
      <c r="U50" s="364" t="s">
        <v>491</v>
      </c>
      <c r="V50" s="369" t="s">
        <v>463</v>
      </c>
      <c r="W50" s="354">
        <f>Table6[[#This Row],[Breakdown Time]]*(1/39)</f>
        <v>5.0854700854700875E-2</v>
      </c>
      <c r="X50" s="352" t="s">
        <v>465</v>
      </c>
      <c r="Y50" s="370" t="s">
        <v>127</v>
      </c>
      <c r="Z50" s="121">
        <v>7698</v>
      </c>
      <c r="AA50" s="123">
        <v>636.15416666666692</v>
      </c>
      <c r="AB50" s="121" t="s">
        <v>478</v>
      </c>
    </row>
    <row r="51" spans="1:28">
      <c r="A51" s="121">
        <f t="shared" si="0"/>
        <v>50</v>
      </c>
      <c r="B51" s="123">
        <f>YEAR(Table6[[#This Row],[Date]])+IF(MONTH(Table6[[#This Row],[Date]])&gt;=4,1,0)</f>
        <v>2025</v>
      </c>
      <c r="C51" s="121">
        <f>YEAR(Table6[[#This Row],[Date]])</f>
        <v>2025</v>
      </c>
      <c r="D51" s="121" t="s">
        <v>490</v>
      </c>
      <c r="E51" s="135">
        <f>Table6[[#This Row],[Date]]-DAY(Table6[[#This Row],[Date]])+1</f>
        <v>45717</v>
      </c>
      <c r="F51" s="134">
        <v>45747</v>
      </c>
      <c r="G51" s="121" t="s">
        <v>127</v>
      </c>
      <c r="H51" s="39" t="str">
        <f>_xlfn.XLOOKUP(Table6[[#This Row],[Affected WTG]],'Basic Data'!$A:$A,'Basic Data'!$B:$B)</f>
        <v>PWEGPL</v>
      </c>
      <c r="I51" s="39" t="str">
        <f>_xlfn.XLOOKUP(Table6[[#This Row],[Affected WTG]],'Basic Data'!$A:$A,'Basic Data'!$C:$C)</f>
        <v>MSEDCL</v>
      </c>
      <c r="J51" s="363">
        <f>IFERROR(VLOOKUP(Table6[[#This Row],[Affected WTG]],'Basic Data'!$A$3:$E$56,5,0),"")</f>
        <v>2.564102564102564E-2</v>
      </c>
      <c r="K51" s="121">
        <v>550</v>
      </c>
      <c r="L51" s="39" t="str">
        <f>IFERROR(VLOOKUP(Table6[[#This Row],[Error Code]],'Basic Data'!$T:$U,2,0),"")</f>
        <v>Generator Fans Thermal Relay Triggered Too Long</v>
      </c>
      <c r="M51" s="364" t="s">
        <v>462</v>
      </c>
      <c r="O51" s="365">
        <v>0.63194444444444442</v>
      </c>
      <c r="P51" s="365">
        <v>0.65972222222222221</v>
      </c>
      <c r="Q51" s="365">
        <v>0.66805555555555551</v>
      </c>
      <c r="R51" s="366">
        <f>IF(Table6[[#This Row],[Work Start TimeStamp]]="","",(Table6[[#This Row],[Work Start TimeStamp]]-Table6[[#This Row],[Fault Start TimeStamp]])*24)</f>
        <v>0.66666666666666696</v>
      </c>
      <c r="S51" s="367">
        <f>(Table6[[#This Row],[Fault Clearance time]]-Table6[[#This Row],[Work Start TimeStamp]])*24</f>
        <v>0.19999999999999929</v>
      </c>
      <c r="T51" s="368">
        <f>(Table6[[#This Row],[Fault Clearance time]]-Table6[[#This Row],[Fault Start TimeStamp]])*24</f>
        <v>0.86666666666666625</v>
      </c>
      <c r="U51" s="364" t="s">
        <v>493</v>
      </c>
      <c r="V51" s="369" t="s">
        <v>463</v>
      </c>
      <c r="W51" s="354">
        <f>Table6[[#This Row],[Breakdown Time]]*(1/39)</f>
        <v>2.2222222222222209E-2</v>
      </c>
      <c r="X51" s="352" t="s">
        <v>465</v>
      </c>
      <c r="Y51" s="370" t="s">
        <v>128</v>
      </c>
      <c r="Z51" s="121">
        <v>7408</v>
      </c>
      <c r="AA51" s="123">
        <v>267.51111111111101</v>
      </c>
      <c r="AB51" s="121" t="s">
        <v>478</v>
      </c>
    </row>
    <row r="52" spans="1:28">
      <c r="A52" s="121">
        <f t="shared" si="0"/>
        <v>51</v>
      </c>
      <c r="B52" s="123">
        <f>YEAR(Table6[[#This Row],[Date]])+IF(MONTH(Table6[[#This Row],[Date]])&gt;=4,1,0)</f>
        <v>2025</v>
      </c>
      <c r="C52" s="121">
        <f>YEAR(Table6[[#This Row],[Date]])</f>
        <v>2025</v>
      </c>
      <c r="D52" s="121" t="s">
        <v>490</v>
      </c>
      <c r="E52" s="135">
        <f>Table6[[#This Row],[Date]]-DAY(Table6[[#This Row],[Date]])+1</f>
        <v>45717</v>
      </c>
      <c r="F52" s="134">
        <v>45747</v>
      </c>
      <c r="G52" s="121" t="s">
        <v>127</v>
      </c>
      <c r="H52" s="39" t="str">
        <f>_xlfn.XLOOKUP(Table6[[#This Row],[Affected WTG]],'Basic Data'!$A:$A,'Basic Data'!$B:$B)</f>
        <v>PWEGPL</v>
      </c>
      <c r="I52" s="39" t="str">
        <f>_xlfn.XLOOKUP(Table6[[#This Row],[Affected WTG]],'Basic Data'!$A:$A,'Basic Data'!$C:$C)</f>
        <v>MSEDCL</v>
      </c>
      <c r="J52" s="363">
        <f>IFERROR(VLOOKUP(Table6[[#This Row],[Affected WTG]],'Basic Data'!$A$3:$E$56,5,0),"")</f>
        <v>2.564102564102564E-2</v>
      </c>
      <c r="K52" s="121">
        <v>426</v>
      </c>
      <c r="L52" s="39" t="str">
        <f>IFERROR(VLOOKUP(Table6[[#This Row],[Error Code]],'Basic Data'!$T:$U,2,0),"")</f>
        <v>Rotor Speed Reading Failure</v>
      </c>
      <c r="M52" s="364" t="s">
        <v>462</v>
      </c>
      <c r="O52" s="365">
        <v>0.8569444444444444</v>
      </c>
      <c r="P52" s="365">
        <v>0.8569444444444444</v>
      </c>
      <c r="Q52" s="365">
        <v>0.86458333333333337</v>
      </c>
      <c r="R52" s="366">
        <f>IF(Table6[[#This Row],[Work Start TimeStamp]]="","",(Table6[[#This Row],[Work Start TimeStamp]]-Table6[[#This Row],[Fault Start TimeStamp]])*24)</f>
        <v>0</v>
      </c>
      <c r="S52" s="367">
        <f>(Table6[[#This Row],[Fault Clearance time]]-Table6[[#This Row],[Work Start TimeStamp]])*24</f>
        <v>0.18333333333333535</v>
      </c>
      <c r="T52" s="368">
        <f>(Table6[[#This Row],[Fault Clearance time]]-Table6[[#This Row],[Fault Start TimeStamp]])*24</f>
        <v>0.18333333333333535</v>
      </c>
      <c r="U52" s="364" t="s">
        <v>480</v>
      </c>
      <c r="V52" s="369" t="s">
        <v>463</v>
      </c>
      <c r="W52" s="354">
        <f>Table6[[#This Row],[Breakdown Time]]*(1/39)</f>
        <v>4.7008547008547527E-3</v>
      </c>
      <c r="X52" s="352" t="s">
        <v>465</v>
      </c>
      <c r="Y52" s="370" t="s">
        <v>128</v>
      </c>
      <c r="Z52" s="121">
        <v>7408</v>
      </c>
      <c r="AA52" s="123">
        <v>56.588888888889514</v>
      </c>
      <c r="AB52" s="121" t="s">
        <v>478</v>
      </c>
    </row>
    <row r="53" spans="1:28">
      <c r="A53" s="121">
        <f t="shared" si="0"/>
        <v>52</v>
      </c>
      <c r="B53" s="123">
        <f>YEAR(Table6[[#This Row],[Date]])+IF(MONTH(Table6[[#This Row],[Date]])&gt;=4,1,0)</f>
        <v>2025</v>
      </c>
      <c r="C53" s="121">
        <f>YEAR(Table6[[#This Row],[Date]])</f>
        <v>2025</v>
      </c>
      <c r="D53" s="121" t="s">
        <v>490</v>
      </c>
      <c r="E53" s="135">
        <f>Table6[[#This Row],[Date]]-DAY(Table6[[#This Row],[Date]])+1</f>
        <v>45717</v>
      </c>
      <c r="F53" s="134">
        <v>45747</v>
      </c>
      <c r="G53" s="121" t="s">
        <v>128</v>
      </c>
      <c r="H53" s="39" t="str">
        <f>_xlfn.XLOOKUP(Table6[[#This Row],[Affected WTG]],'Basic Data'!$A:$A,'Basic Data'!$B:$B)</f>
        <v>PWEGPL</v>
      </c>
      <c r="I53" s="39" t="str">
        <f>_xlfn.XLOOKUP(Table6[[#This Row],[Affected WTG]],'Basic Data'!$A:$A,'Basic Data'!$C:$C)</f>
        <v>MSEDCL</v>
      </c>
      <c r="J53" s="363">
        <f>IFERROR(VLOOKUP(Table6[[#This Row],[Affected WTG]],'Basic Data'!$A$3:$E$56,5,0),"")</f>
        <v>2.564102564102564E-2</v>
      </c>
      <c r="K53" s="121">
        <v>205</v>
      </c>
      <c r="L53" s="39" t="str">
        <f>IFERROR(VLOOKUP(Table6[[#This Row],[Error Code]],'Basic Data'!$T:$U,2,0),"")</f>
        <v>Low Level Hydraulic Group Refrigeration Oil</v>
      </c>
      <c r="M53" s="364" t="s">
        <v>462</v>
      </c>
      <c r="O53" s="365">
        <v>0.35416666666666669</v>
      </c>
      <c r="P53" s="365">
        <v>0.46597222222222223</v>
      </c>
      <c r="Q53" s="365">
        <v>0.54166666666666663</v>
      </c>
      <c r="R53" s="366">
        <f>IF(Table6[[#This Row],[Work Start TimeStamp]]="","",(Table6[[#This Row],[Work Start TimeStamp]]-Table6[[#This Row],[Fault Start TimeStamp]])*24)</f>
        <v>2.6833333333333331</v>
      </c>
      <c r="S53" s="367">
        <f>(Table6[[#This Row],[Fault Clearance time]]-Table6[[#This Row],[Work Start TimeStamp]])*24</f>
        <v>1.8166666666666655</v>
      </c>
      <c r="T53" s="368">
        <f>(Table6[[#This Row],[Fault Clearance time]]-Table6[[#This Row],[Fault Start TimeStamp]])*24</f>
        <v>4.4999999999999982</v>
      </c>
      <c r="U53" s="364" t="s">
        <v>503</v>
      </c>
      <c r="V53" s="369" t="s">
        <v>463</v>
      </c>
      <c r="W53" s="354">
        <f>Table6[[#This Row],[Breakdown Time]]*(1/39)</f>
        <v>0.11538461538461534</v>
      </c>
      <c r="X53" s="352" t="s">
        <v>465</v>
      </c>
      <c r="Y53" s="370" t="s">
        <v>129</v>
      </c>
      <c r="Z53" s="121">
        <v>6173</v>
      </c>
      <c r="AA53" s="123">
        <v>1157.4374999999995</v>
      </c>
      <c r="AB53" s="121" t="s">
        <v>478</v>
      </c>
    </row>
    <row r="54" spans="1:28">
      <c r="A54" s="121">
        <f t="shared" si="0"/>
        <v>53</v>
      </c>
      <c r="B54" s="123">
        <f>YEAR(Table6[[#This Row],[Date]])+IF(MONTH(Table6[[#This Row],[Date]])&gt;=4,1,0)</f>
        <v>2025</v>
      </c>
      <c r="C54" s="121">
        <f>YEAR(Table6[[#This Row],[Date]])</f>
        <v>2025</v>
      </c>
      <c r="D54" s="121" t="s">
        <v>490</v>
      </c>
      <c r="E54" s="135">
        <f>Table6[[#This Row],[Date]]-DAY(Table6[[#This Row],[Date]])+1</f>
        <v>45717</v>
      </c>
      <c r="F54" s="134">
        <v>45747</v>
      </c>
      <c r="G54" s="121" t="s">
        <v>128</v>
      </c>
      <c r="H54" s="39" t="str">
        <f>_xlfn.XLOOKUP(Table6[[#This Row],[Affected WTG]],'Basic Data'!$A:$A,'Basic Data'!$B:$B)</f>
        <v>PWEGPL</v>
      </c>
      <c r="I54" s="39" t="str">
        <f>_xlfn.XLOOKUP(Table6[[#This Row],[Affected WTG]],'Basic Data'!$A:$A,'Basic Data'!$C:$C)</f>
        <v>MSEDCL</v>
      </c>
      <c r="J54" s="363">
        <f>IFERROR(VLOOKUP(Table6[[#This Row],[Affected WTG]],'Basic Data'!$A$3:$E$56,5,0),"")</f>
        <v>2.564102564102564E-2</v>
      </c>
      <c r="K54" s="121">
        <v>203</v>
      </c>
      <c r="L54" s="39" t="str">
        <f>IFERROR(VLOOKUP(Table6[[#This Row],[Error Code]],'Basic Data'!$T:$U,2,0),"")</f>
        <v>Low Pressure On Hydraulic Group</v>
      </c>
      <c r="M54" s="364" t="s">
        <v>462</v>
      </c>
      <c r="O54" s="365">
        <v>0.68541666666666667</v>
      </c>
      <c r="P54" s="365">
        <v>0.68541666666666667</v>
      </c>
      <c r="Q54" s="365">
        <v>0.69236111111111109</v>
      </c>
      <c r="R54" s="366">
        <f>IF(Table6[[#This Row],[Work Start TimeStamp]]="","",(Table6[[#This Row],[Work Start TimeStamp]]-Table6[[#This Row],[Fault Start TimeStamp]])*24)</f>
        <v>0</v>
      </c>
      <c r="S54" s="367">
        <f>(Table6[[#This Row],[Fault Clearance time]]-Table6[[#This Row],[Work Start TimeStamp]])*24</f>
        <v>0.16666666666666607</v>
      </c>
      <c r="T54" s="368">
        <f>(Table6[[#This Row],[Fault Clearance time]]-Table6[[#This Row],[Fault Start TimeStamp]])*24</f>
        <v>0.16666666666666607</v>
      </c>
      <c r="U54" s="364" t="s">
        <v>480</v>
      </c>
      <c r="V54" s="369" t="s">
        <v>463</v>
      </c>
      <c r="W54" s="354">
        <f>Table6[[#This Row],[Breakdown Time]]*(1/39)</f>
        <v>4.2735042735042583E-3</v>
      </c>
      <c r="X54" s="352" t="s">
        <v>465</v>
      </c>
      <c r="Y54" s="370" t="s">
        <v>129</v>
      </c>
      <c r="Z54" s="121">
        <v>6173</v>
      </c>
      <c r="AA54" s="123">
        <v>42.868055555555401</v>
      </c>
      <c r="AB54" s="121" t="s">
        <v>478</v>
      </c>
    </row>
    <row r="55" spans="1:28">
      <c r="A55" s="121">
        <f t="shared" si="0"/>
        <v>54</v>
      </c>
      <c r="B55" s="123">
        <f>YEAR(Table6[[#This Row],[Date]])+IF(MONTH(Table6[[#This Row],[Date]])&gt;=4,1,0)</f>
        <v>2025</v>
      </c>
      <c r="C55" s="121">
        <f>YEAR(Table6[[#This Row],[Date]])</f>
        <v>2025</v>
      </c>
      <c r="D55" s="121" t="s">
        <v>490</v>
      </c>
      <c r="E55" s="135">
        <f>Table6[[#This Row],[Date]]-DAY(Table6[[#This Row],[Date]])+1</f>
        <v>45717</v>
      </c>
      <c r="F55" s="134">
        <v>45747</v>
      </c>
      <c r="G55" s="121" t="s">
        <v>129</v>
      </c>
      <c r="H55" s="39" t="str">
        <f>_xlfn.XLOOKUP(Table6[[#This Row],[Affected WTG]],'Basic Data'!$A:$A,'Basic Data'!$B:$B)</f>
        <v>PWEGPL</v>
      </c>
      <c r="I55" s="39" t="str">
        <f>_xlfn.XLOOKUP(Table6[[#This Row],[Affected WTG]],'Basic Data'!$A:$A,'Basic Data'!$C:$C)</f>
        <v>MSEDCL</v>
      </c>
      <c r="J55" s="363">
        <f>IFERROR(VLOOKUP(Table6[[#This Row],[Affected WTG]],'Basic Data'!$A$3:$E$56,5,0),"")</f>
        <v>2.564102564102564E-2</v>
      </c>
      <c r="K55" s="121">
        <v>722</v>
      </c>
      <c r="L55" s="39" t="str">
        <f>IFERROR(VLOOKUP(Table6[[#This Row],[Error Code]],'Basic Data'!$T:$U,2,0),"")</f>
        <v>Wind Vane Failure Alarm</v>
      </c>
      <c r="M55" s="364" t="s">
        <v>462</v>
      </c>
      <c r="O55" s="365">
        <v>0.68333333333333335</v>
      </c>
      <c r="P55" s="365">
        <v>0.74722222222222223</v>
      </c>
      <c r="Q55" s="365">
        <v>0.74722222222222223</v>
      </c>
      <c r="R55" s="366">
        <f>IF(Table6[[#This Row],[Work Start TimeStamp]]="","",(Table6[[#This Row],[Work Start TimeStamp]]-Table6[[#This Row],[Fault Start TimeStamp]])*24)</f>
        <v>1.5333333333333332</v>
      </c>
      <c r="S55" s="367">
        <f>(Table6[[#This Row],[Fault Clearance time]]-Table6[[#This Row],[Work Start TimeStamp]])*24</f>
        <v>0</v>
      </c>
      <c r="T55" s="368">
        <f>(Table6[[#This Row],[Fault Clearance time]]-Table6[[#This Row],[Fault Start TimeStamp]])*24</f>
        <v>1.5333333333333332</v>
      </c>
      <c r="U55" s="364" t="s">
        <v>493</v>
      </c>
      <c r="V55" s="369" t="s">
        <v>463</v>
      </c>
      <c r="W55" s="354">
        <f>Table6[[#This Row],[Breakdown Time]]*(1/39)</f>
        <v>3.9316239316239308E-2</v>
      </c>
      <c r="X55" s="352" t="s">
        <v>465</v>
      </c>
      <c r="Y55" s="370" t="s">
        <v>128</v>
      </c>
      <c r="Z55" s="121">
        <v>7408</v>
      </c>
      <c r="AA55" s="123">
        <v>473.28888888888889</v>
      </c>
      <c r="AB55" s="121" t="s">
        <v>478</v>
      </c>
    </row>
    <row r="56" spans="1:28">
      <c r="A56" s="121">
        <f t="shared" si="0"/>
        <v>55</v>
      </c>
      <c r="B56" s="123">
        <f>YEAR(Table6[[#This Row],[Date]])+IF(MONTH(Table6[[#This Row],[Date]])&gt;=4,1,0)</f>
        <v>2025</v>
      </c>
      <c r="C56" s="121">
        <f>YEAR(Table6[[#This Row],[Date]])</f>
        <v>2025</v>
      </c>
      <c r="D56" s="121" t="s">
        <v>490</v>
      </c>
      <c r="E56" s="135">
        <f>Table6[[#This Row],[Date]]-DAY(Table6[[#This Row],[Date]])+1</f>
        <v>45717</v>
      </c>
      <c r="F56" s="134">
        <v>45747</v>
      </c>
      <c r="G56" s="121" t="s">
        <v>130</v>
      </c>
      <c r="H56" s="39" t="str">
        <f>_xlfn.XLOOKUP(Table6[[#This Row],[Affected WTG]],'Basic Data'!$A:$A,'Basic Data'!$B:$B)</f>
        <v>PWEGPL</v>
      </c>
      <c r="I56" s="39" t="str">
        <f>_xlfn.XLOOKUP(Table6[[#This Row],[Affected WTG]],'Basic Data'!$A:$A,'Basic Data'!$C:$C)</f>
        <v>MSEDCL</v>
      </c>
      <c r="J56" s="363">
        <f>IFERROR(VLOOKUP(Table6[[#This Row],[Affected WTG]],'Basic Data'!$A$3:$E$56,5,0),"")</f>
        <v>2.564102564102564E-2</v>
      </c>
      <c r="K56" s="121">
        <v>812</v>
      </c>
      <c r="L56" s="39" t="str">
        <f>IFERROR(VLOOKUP(Table6[[#This Row],[Error Code]],'Basic Data'!$T:$U,2,0),"")</f>
        <v>Blade Position Meas. Error</v>
      </c>
      <c r="M56" s="364" t="s">
        <v>462</v>
      </c>
      <c r="O56" s="365">
        <v>0.68819444444444444</v>
      </c>
      <c r="P56" s="365">
        <v>0.68819444444444444</v>
      </c>
      <c r="Q56" s="365">
        <v>0.69166666666666665</v>
      </c>
      <c r="R56" s="366">
        <f>IF(Table6[[#This Row],[Work Start TimeStamp]]="","",(Table6[[#This Row],[Work Start TimeStamp]]-Table6[[#This Row],[Fault Start TimeStamp]])*24)</f>
        <v>0</v>
      </c>
      <c r="S56" s="367">
        <f>(Table6[[#This Row],[Fault Clearance time]]-Table6[[#This Row],[Work Start TimeStamp]])*24</f>
        <v>8.3333333333333037E-2</v>
      </c>
      <c r="T56" s="368">
        <f>(Table6[[#This Row],[Fault Clearance time]]-Table6[[#This Row],[Fault Start TimeStamp]])*24</f>
        <v>8.3333333333333037E-2</v>
      </c>
      <c r="U56" s="364" t="s">
        <v>480</v>
      </c>
      <c r="V56" s="369" t="s">
        <v>463</v>
      </c>
      <c r="W56" s="354">
        <f>Table6[[#This Row],[Breakdown Time]]*(1/39)</f>
        <v>2.1367521367521292E-3</v>
      </c>
      <c r="X56" s="352" t="s">
        <v>465</v>
      </c>
      <c r="Y56" s="370" t="s">
        <v>131</v>
      </c>
      <c r="Z56" s="121">
        <v>8016</v>
      </c>
      <c r="AA56" s="123">
        <v>27.833333333333236</v>
      </c>
      <c r="AB56" s="121" t="s">
        <v>478</v>
      </c>
    </row>
    <row r="57" spans="1:28">
      <c r="A57" s="121">
        <f t="shared" si="0"/>
        <v>56</v>
      </c>
      <c r="B57" s="123">
        <f>YEAR(Table6[[#This Row],[Date]])+IF(MONTH(Table6[[#This Row],[Date]])&gt;=4,1,0)</f>
        <v>2025</v>
      </c>
      <c r="C57" s="121">
        <f>YEAR(Table6[[#This Row],[Date]])</f>
        <v>2025</v>
      </c>
      <c r="D57" s="121" t="s">
        <v>490</v>
      </c>
      <c r="E57" s="135">
        <f>Table6[[#This Row],[Date]]-DAY(Table6[[#This Row],[Date]])+1</f>
        <v>45717</v>
      </c>
      <c r="F57" s="134">
        <v>45747</v>
      </c>
      <c r="G57" s="121" t="s">
        <v>130</v>
      </c>
      <c r="H57" s="39" t="str">
        <f>_xlfn.XLOOKUP(Table6[[#This Row],[Affected WTG]],'Basic Data'!$A:$A,'Basic Data'!$B:$B)</f>
        <v>PWEGPL</v>
      </c>
      <c r="I57" s="39" t="str">
        <f>_xlfn.XLOOKUP(Table6[[#This Row],[Affected WTG]],'Basic Data'!$A:$A,'Basic Data'!$C:$C)</f>
        <v>MSEDCL</v>
      </c>
      <c r="J57" s="363">
        <f>IFERROR(VLOOKUP(Table6[[#This Row],[Affected WTG]],'Basic Data'!$A$3:$E$56,5,0),"")</f>
        <v>2.564102564102564E-2</v>
      </c>
      <c r="K57" s="121">
        <v>804</v>
      </c>
      <c r="L57" s="39" t="str">
        <f>IFERROR(VLOOKUP(Table6[[#This Row],[Error Code]],'Basic Data'!$T:$U,2,0),"")</f>
        <v>Difference Between 2 Blades Too High</v>
      </c>
      <c r="M57" s="364" t="s">
        <v>462</v>
      </c>
      <c r="O57" s="365">
        <v>0.74652777777777779</v>
      </c>
      <c r="P57" s="365">
        <v>0.74652777777777779</v>
      </c>
      <c r="Q57" s="365">
        <v>0.75</v>
      </c>
      <c r="R57" s="366">
        <f>IF(Table6[[#This Row],[Work Start TimeStamp]]="","",(Table6[[#This Row],[Work Start TimeStamp]]-Table6[[#This Row],[Fault Start TimeStamp]])*24)</f>
        <v>0</v>
      </c>
      <c r="S57" s="367">
        <f>(Table6[[#This Row],[Fault Clearance time]]-Table6[[#This Row],[Work Start TimeStamp]])*24</f>
        <v>8.3333333333333037E-2</v>
      </c>
      <c r="T57" s="368">
        <f>(Table6[[#This Row],[Fault Clearance time]]-Table6[[#This Row],[Fault Start TimeStamp]])*24</f>
        <v>8.3333333333333037E-2</v>
      </c>
      <c r="U57" s="364" t="s">
        <v>480</v>
      </c>
      <c r="V57" s="369" t="s">
        <v>463</v>
      </c>
      <c r="W57" s="354">
        <f>Table6[[#This Row],[Breakdown Time]]*(1/39)</f>
        <v>2.1367521367521292E-3</v>
      </c>
      <c r="X57" s="352" t="s">
        <v>465</v>
      </c>
      <c r="Y57" s="370" t="s">
        <v>131</v>
      </c>
      <c r="Z57" s="121">
        <v>8016</v>
      </c>
      <c r="AA57" s="123">
        <v>27.833333333333236</v>
      </c>
      <c r="AB57" s="121" t="s">
        <v>478</v>
      </c>
    </row>
    <row r="58" spans="1:28">
      <c r="A58" s="121">
        <f t="shared" si="0"/>
        <v>57</v>
      </c>
      <c r="B58" s="123">
        <f>YEAR(Table6[[#This Row],[Date]])+IF(MONTH(Table6[[#This Row],[Date]])&gt;=4,1,0)</f>
        <v>2025</v>
      </c>
      <c r="C58" s="121">
        <f>YEAR(Table6[[#This Row],[Date]])</f>
        <v>2025</v>
      </c>
      <c r="D58" s="121" t="s">
        <v>490</v>
      </c>
      <c r="E58" s="135">
        <f>Table6[[#This Row],[Date]]-DAY(Table6[[#This Row],[Date]])+1</f>
        <v>45717</v>
      </c>
      <c r="F58" s="134">
        <v>45747</v>
      </c>
      <c r="G58" s="121" t="s">
        <v>130</v>
      </c>
      <c r="H58" s="39" t="str">
        <f>_xlfn.XLOOKUP(Table6[[#This Row],[Affected WTG]],'Basic Data'!$A:$A,'Basic Data'!$B:$B)</f>
        <v>PWEGPL</v>
      </c>
      <c r="I58" s="39" t="str">
        <f>_xlfn.XLOOKUP(Table6[[#This Row],[Affected WTG]],'Basic Data'!$A:$A,'Basic Data'!$C:$C)</f>
        <v>MSEDCL</v>
      </c>
      <c r="J58" s="363">
        <f>IFERROR(VLOOKUP(Table6[[#This Row],[Affected WTG]],'Basic Data'!$A$3:$E$56,5,0),"")</f>
        <v>2.564102564102564E-2</v>
      </c>
      <c r="K58" s="121">
        <v>2118</v>
      </c>
      <c r="L58" s="39" t="str">
        <f>IFERROR(VLOOKUP(Table6[[#This Row],[Error Code]],'Basic Data'!$T:$U,2,0),"")</f>
        <v>Bus Error - Interbus Failure</v>
      </c>
      <c r="M58" s="364" t="s">
        <v>462</v>
      </c>
      <c r="O58" s="365">
        <v>0.7583333333333333</v>
      </c>
      <c r="P58" s="365">
        <v>0.76875000000000004</v>
      </c>
      <c r="Q58" s="365">
        <v>0.78125</v>
      </c>
      <c r="R58" s="366">
        <f>IF(Table6[[#This Row],[Work Start TimeStamp]]="","",(Table6[[#This Row],[Work Start TimeStamp]]-Table6[[#This Row],[Fault Start TimeStamp]])*24)</f>
        <v>0.25000000000000178</v>
      </c>
      <c r="S58" s="367">
        <f>(Table6[[#This Row],[Fault Clearance time]]-Table6[[#This Row],[Work Start TimeStamp]])*24</f>
        <v>0.29999999999999893</v>
      </c>
      <c r="T58" s="368">
        <f>(Table6[[#This Row],[Fault Clearance time]]-Table6[[#This Row],[Fault Start TimeStamp]])*24</f>
        <v>0.55000000000000071</v>
      </c>
      <c r="U58" s="364" t="s">
        <v>480</v>
      </c>
      <c r="V58" s="369" t="s">
        <v>463</v>
      </c>
      <c r="W58" s="354">
        <f>Table6[[#This Row],[Breakdown Time]]*(1/39)</f>
        <v>1.410256410256412E-2</v>
      </c>
      <c r="X58" s="352" t="s">
        <v>465</v>
      </c>
      <c r="Y58" s="370" t="s">
        <v>131</v>
      </c>
      <c r="Z58" s="121">
        <v>8016</v>
      </c>
      <c r="AA58" s="123">
        <v>183.70000000000024</v>
      </c>
      <c r="AB58" s="121" t="s">
        <v>478</v>
      </c>
    </row>
    <row r="59" spans="1:28">
      <c r="A59" s="121">
        <f t="shared" si="0"/>
        <v>58</v>
      </c>
      <c r="B59" s="123">
        <f>YEAR(Table6[[#This Row],[Date]])+IF(MONTH(Table6[[#This Row],[Date]])&gt;=4,1,0)</f>
        <v>2025</v>
      </c>
      <c r="C59" s="121">
        <f>YEAR(Table6[[#This Row],[Date]])</f>
        <v>2025</v>
      </c>
      <c r="D59" s="121" t="s">
        <v>490</v>
      </c>
      <c r="E59" s="135">
        <f>Table6[[#This Row],[Date]]-DAY(Table6[[#This Row],[Date]])+1</f>
        <v>45717</v>
      </c>
      <c r="F59" s="134">
        <v>45747</v>
      </c>
      <c r="G59" s="121" t="s">
        <v>130</v>
      </c>
      <c r="H59" s="39" t="str">
        <f>_xlfn.XLOOKUP(Table6[[#This Row],[Affected WTG]],'Basic Data'!$A:$A,'Basic Data'!$B:$B)</f>
        <v>PWEGPL</v>
      </c>
      <c r="I59" s="39" t="str">
        <f>_xlfn.XLOOKUP(Table6[[#This Row],[Affected WTG]],'Basic Data'!$A:$A,'Basic Data'!$C:$C)</f>
        <v>MSEDCL</v>
      </c>
      <c r="J59" s="363">
        <f>IFERROR(VLOOKUP(Table6[[#This Row],[Affected WTG]],'Basic Data'!$A$3:$E$56,5,0),"")</f>
        <v>2.564102564102564E-2</v>
      </c>
      <c r="K59" s="121">
        <v>804</v>
      </c>
      <c r="L59" s="39" t="str">
        <f>IFERROR(VLOOKUP(Table6[[#This Row],[Error Code]],'Basic Data'!$T:$U,2,0),"")</f>
        <v>Difference Between 2 Blades Too High</v>
      </c>
      <c r="M59" s="364" t="s">
        <v>462</v>
      </c>
      <c r="N59" s="371"/>
      <c r="O59" s="365">
        <v>0.8618055555555556</v>
      </c>
      <c r="P59" s="365">
        <v>0.8618055555555556</v>
      </c>
      <c r="Q59" s="365">
        <v>0.86527777777777781</v>
      </c>
      <c r="R59" s="366">
        <f>IF(Table6[[#This Row],[Work Start TimeStamp]]="","",(Table6[[#This Row],[Work Start TimeStamp]]-Table6[[#This Row],[Fault Start TimeStamp]])*24)</f>
        <v>0</v>
      </c>
      <c r="S59" s="367">
        <f>(Table6[[#This Row],[Fault Clearance time]]-Table6[[#This Row],[Work Start TimeStamp]])*24</f>
        <v>8.3333333333333037E-2</v>
      </c>
      <c r="T59" s="368">
        <f>(Table6[[#This Row],[Fault Clearance time]]-Table6[[#This Row],[Fault Start TimeStamp]])*24</f>
        <v>8.3333333333333037E-2</v>
      </c>
      <c r="U59" s="364" t="s">
        <v>480</v>
      </c>
      <c r="V59" s="369" t="s">
        <v>463</v>
      </c>
      <c r="W59" s="354">
        <f>Table6[[#This Row],[Breakdown Time]]*(1/39)</f>
        <v>2.1367521367521292E-3</v>
      </c>
      <c r="X59" s="352" t="s">
        <v>465</v>
      </c>
      <c r="Y59" s="370" t="s">
        <v>131</v>
      </c>
      <c r="Z59" s="121">
        <v>8016</v>
      </c>
      <c r="AA59" s="123">
        <v>27.833333333333236</v>
      </c>
      <c r="AB59" s="121" t="s">
        <v>478</v>
      </c>
    </row>
    <row r="60" spans="1:28">
      <c r="A60" s="121">
        <f t="shared" si="0"/>
        <v>59</v>
      </c>
      <c r="B60" s="123">
        <f>YEAR(Table6[[#This Row],[Date]])+IF(MONTH(Table6[[#This Row],[Date]])&gt;=4,1,0)</f>
        <v>2025</v>
      </c>
      <c r="C60" s="121">
        <f>YEAR(Table6[[#This Row],[Date]])</f>
        <v>2025</v>
      </c>
      <c r="D60" s="121" t="s">
        <v>490</v>
      </c>
      <c r="E60" s="135">
        <f>Table6[[#This Row],[Date]]-DAY(Table6[[#This Row],[Date]])+1</f>
        <v>45717</v>
      </c>
      <c r="F60" s="134">
        <v>45747</v>
      </c>
      <c r="G60" s="121" t="s">
        <v>130</v>
      </c>
      <c r="H60" s="39" t="str">
        <f>_xlfn.XLOOKUP(Table6[[#This Row],[Affected WTG]],'Basic Data'!$A:$A,'Basic Data'!$B:$B)</f>
        <v>PWEGPL</v>
      </c>
      <c r="I60" s="39" t="str">
        <f>_xlfn.XLOOKUP(Table6[[#This Row],[Affected WTG]],'Basic Data'!$A:$A,'Basic Data'!$C:$C)</f>
        <v>MSEDCL</v>
      </c>
      <c r="J60" s="363">
        <f>IFERROR(VLOOKUP(Table6[[#This Row],[Affected WTG]],'Basic Data'!$A$3:$E$56,5,0),"")</f>
        <v>2.564102564102564E-2</v>
      </c>
      <c r="K60" s="121">
        <v>812</v>
      </c>
      <c r="L60" s="39" t="str">
        <f>IFERROR(VLOOKUP(Table6[[#This Row],[Error Code]],'Basic Data'!$T:$U,2,0),"")</f>
        <v>Blade Position Meas. Error</v>
      </c>
      <c r="M60" s="364" t="s">
        <v>462</v>
      </c>
      <c r="O60" s="365">
        <v>0.88958333333333328</v>
      </c>
      <c r="P60" s="365">
        <v>0.89444444444444449</v>
      </c>
      <c r="Q60" s="365">
        <v>0.8979166666666667</v>
      </c>
      <c r="R60" s="366">
        <f>IF(Table6[[#This Row],[Work Start TimeStamp]]="","",(Table6[[#This Row],[Work Start TimeStamp]]-Table6[[#This Row],[Fault Start TimeStamp]])*24)</f>
        <v>0.11666666666666892</v>
      </c>
      <c r="S60" s="367">
        <f>(Table6[[#This Row],[Fault Clearance time]]-Table6[[#This Row],[Work Start TimeStamp]])*24</f>
        <v>8.3333333333333037E-2</v>
      </c>
      <c r="T60" s="368">
        <f>(Table6[[#This Row],[Fault Clearance time]]-Table6[[#This Row],[Fault Start TimeStamp]])*24</f>
        <v>0.20000000000000195</v>
      </c>
      <c r="U60" s="364" t="s">
        <v>480</v>
      </c>
      <c r="V60" s="369" t="s">
        <v>463</v>
      </c>
      <c r="W60" s="354">
        <f>Table6[[#This Row],[Breakdown Time]]*(1/39)</f>
        <v>5.1282051282051785E-3</v>
      </c>
      <c r="X60" s="352" t="s">
        <v>465</v>
      </c>
      <c r="Y60" s="370" t="s">
        <v>131</v>
      </c>
      <c r="Z60" s="121">
        <v>8016</v>
      </c>
      <c r="AA60" s="123">
        <v>66.800000000000651</v>
      </c>
      <c r="AB60" s="121" t="s">
        <v>478</v>
      </c>
    </row>
    <row r="61" spans="1:28">
      <c r="A61" s="121">
        <f t="shared" si="0"/>
        <v>60</v>
      </c>
      <c r="B61" s="123">
        <f>YEAR(Table6[[#This Row],[Date]])+IF(MONTH(Table6[[#This Row],[Date]])&gt;=4,1,0)</f>
        <v>2025</v>
      </c>
      <c r="C61" s="121">
        <f>YEAR(Table6[[#This Row],[Date]])</f>
        <v>2025</v>
      </c>
      <c r="D61" s="121" t="s">
        <v>490</v>
      </c>
      <c r="E61" s="135">
        <f>Table6[[#This Row],[Date]]-DAY(Table6[[#This Row],[Date]])+1</f>
        <v>45717</v>
      </c>
      <c r="F61" s="134">
        <v>45747</v>
      </c>
      <c r="G61" s="121" t="s">
        <v>131</v>
      </c>
      <c r="H61" s="39" t="str">
        <f>_xlfn.XLOOKUP(Table6[[#This Row],[Affected WTG]],'Basic Data'!$A:$A,'Basic Data'!$B:$B)</f>
        <v>PWEGPL</v>
      </c>
      <c r="I61" s="39" t="str">
        <f>_xlfn.XLOOKUP(Table6[[#This Row],[Affected WTG]],'Basic Data'!$A:$A,'Basic Data'!$C:$C)</f>
        <v>MSEDCL</v>
      </c>
      <c r="J61" s="363">
        <f>IFERROR(VLOOKUP(Table6[[#This Row],[Affected WTG]],'Basic Data'!$A$3:$E$56,5,0),"")</f>
        <v>2.564102564102564E-2</v>
      </c>
      <c r="K61" s="121">
        <v>5201</v>
      </c>
      <c r="L61" s="39" t="str">
        <f>IFERROR(VLOOKUP(Table6[[#This Row],[Error Code]],'Basic Data'!$T:$U,2,0),"")</f>
        <v>Magnetothermic Trigger Of The Stator Protection</v>
      </c>
      <c r="M61" s="364" t="s">
        <v>462</v>
      </c>
      <c r="N61" s="371"/>
      <c r="O61" s="365">
        <v>0.76527777777777772</v>
      </c>
      <c r="P61" s="365">
        <v>0.76527777777777772</v>
      </c>
      <c r="Q61" s="365">
        <v>0.77708333333333335</v>
      </c>
      <c r="R61" s="366">
        <f>IF(Table6[[#This Row],[Work Start TimeStamp]]="","",(Table6[[#This Row],[Work Start TimeStamp]]-Table6[[#This Row],[Fault Start TimeStamp]])*24)</f>
        <v>0</v>
      </c>
      <c r="S61" s="367">
        <f>(Table6[[#This Row],[Fault Clearance time]]-Table6[[#This Row],[Work Start TimeStamp]])*24</f>
        <v>0.28333333333333499</v>
      </c>
      <c r="T61" s="368">
        <f>(Table6[[#This Row],[Fault Clearance time]]-Table6[[#This Row],[Fault Start TimeStamp]])*24</f>
        <v>0.28333333333333499</v>
      </c>
      <c r="U61" s="364" t="s">
        <v>491</v>
      </c>
      <c r="V61" s="369" t="s">
        <v>463</v>
      </c>
      <c r="W61" s="354">
        <f>Table6[[#This Row],[Breakdown Time]]*(1/39)</f>
        <v>7.2649572649573068E-3</v>
      </c>
      <c r="X61" s="352" t="s">
        <v>465</v>
      </c>
      <c r="Y61" s="370" t="s">
        <v>130</v>
      </c>
      <c r="Z61" s="121">
        <v>7064</v>
      </c>
      <c r="AA61" s="123">
        <v>83.394444444444929</v>
      </c>
      <c r="AB61" s="121" t="s">
        <v>478</v>
      </c>
    </row>
    <row r="62" spans="1:28">
      <c r="A62" s="121">
        <f t="shared" si="0"/>
        <v>61</v>
      </c>
      <c r="B62" s="123">
        <f>YEAR(Table6[[#This Row],[Date]])+IF(MONTH(Table6[[#This Row],[Date]])&gt;=4,1,0)</f>
        <v>2025</v>
      </c>
      <c r="C62" s="121">
        <f>YEAR(Table6[[#This Row],[Date]])</f>
        <v>2025</v>
      </c>
      <c r="D62" s="121" t="s">
        <v>490</v>
      </c>
      <c r="E62" s="135">
        <f>Table6[[#This Row],[Date]]-DAY(Table6[[#This Row],[Date]])+1</f>
        <v>45717</v>
      </c>
      <c r="F62" s="134">
        <v>45747</v>
      </c>
      <c r="G62" s="121" t="s">
        <v>132</v>
      </c>
      <c r="H62" s="39" t="str">
        <f>_xlfn.XLOOKUP(Table6[[#This Row],[Affected WTG]],'Basic Data'!$A:$A,'Basic Data'!$B:$B)</f>
        <v>PWEGPL</v>
      </c>
      <c r="I62" s="39" t="str">
        <f>_xlfn.XLOOKUP(Table6[[#This Row],[Affected WTG]],'Basic Data'!$A:$A,'Basic Data'!$C:$C)</f>
        <v>MSEDCL</v>
      </c>
      <c r="J62" s="363">
        <f>IFERROR(VLOOKUP(Table6[[#This Row],[Affected WTG]],'Basic Data'!$A$3:$E$56,5,0),"")</f>
        <v>2.564102564102564E-2</v>
      </c>
      <c r="K62" s="121">
        <v>812</v>
      </c>
      <c r="L62" s="39" t="str">
        <f>IFERROR(VLOOKUP(Table6[[#This Row],[Error Code]],'Basic Data'!$T:$U,2,0),"")</f>
        <v>Blade Position Meas. Error</v>
      </c>
      <c r="M62" s="364" t="s">
        <v>462</v>
      </c>
      <c r="O62" s="365">
        <v>0.68819444444444444</v>
      </c>
      <c r="P62" s="365">
        <v>0.68819444444444444</v>
      </c>
      <c r="Q62" s="365">
        <v>0.69930555555555551</v>
      </c>
      <c r="R62" s="366">
        <f>IF(Table6[[#This Row],[Work Start TimeStamp]]="","",(Table6[[#This Row],[Work Start TimeStamp]]-Table6[[#This Row],[Fault Start TimeStamp]])*24)</f>
        <v>0</v>
      </c>
      <c r="S62" s="367">
        <f>(Table6[[#This Row],[Fault Clearance time]]-Table6[[#This Row],[Work Start TimeStamp]])*24</f>
        <v>0.26666666666666572</v>
      </c>
      <c r="T62" s="368">
        <f>(Table6[[#This Row],[Fault Clearance time]]-Table6[[#This Row],[Fault Start TimeStamp]])*24</f>
        <v>0.26666666666666572</v>
      </c>
      <c r="U62" s="364" t="s">
        <v>480</v>
      </c>
      <c r="V62" s="369" t="s">
        <v>463</v>
      </c>
      <c r="W62" s="354">
        <f>Table6[[#This Row],[Breakdown Time]]*(1/39)</f>
        <v>6.8376068376068133E-3</v>
      </c>
      <c r="X62" s="352" t="s">
        <v>465</v>
      </c>
      <c r="Y62" s="370" t="s">
        <v>133</v>
      </c>
      <c r="Z62" s="121">
        <v>8564</v>
      </c>
      <c r="AA62" s="123">
        <v>95.15555555555521</v>
      </c>
      <c r="AB62" s="121" t="s">
        <v>478</v>
      </c>
    </row>
    <row r="63" spans="1:28">
      <c r="A63" s="121">
        <f t="shared" si="0"/>
        <v>62</v>
      </c>
      <c r="B63" s="123">
        <f>YEAR(Table6[[#This Row],[Date]])+IF(MONTH(Table6[[#This Row],[Date]])&gt;=4,1,0)</f>
        <v>2025</v>
      </c>
      <c r="C63" s="121">
        <f>YEAR(Table6[[#This Row],[Date]])</f>
        <v>2025</v>
      </c>
      <c r="D63" s="121" t="s">
        <v>490</v>
      </c>
      <c r="E63" s="135">
        <f>Table6[[#This Row],[Date]]-DAY(Table6[[#This Row],[Date]])+1</f>
        <v>45717</v>
      </c>
      <c r="F63" s="134">
        <v>45747</v>
      </c>
      <c r="G63" s="121" t="s">
        <v>132</v>
      </c>
      <c r="H63" s="39" t="str">
        <f>_xlfn.XLOOKUP(Table6[[#This Row],[Affected WTG]],'Basic Data'!$A:$A,'Basic Data'!$B:$B)</f>
        <v>PWEGPL</v>
      </c>
      <c r="I63" s="39" t="str">
        <f>_xlfn.XLOOKUP(Table6[[#This Row],[Affected WTG]],'Basic Data'!$A:$A,'Basic Data'!$C:$C)</f>
        <v>MSEDCL</v>
      </c>
      <c r="J63" s="363">
        <f>IFERROR(VLOOKUP(Table6[[#This Row],[Affected WTG]],'Basic Data'!$A$3:$E$56,5,0),"")</f>
        <v>2.564102564102564E-2</v>
      </c>
      <c r="K63" s="121">
        <v>812</v>
      </c>
      <c r="L63" s="39" t="str">
        <f>IFERROR(VLOOKUP(Table6[[#This Row],[Error Code]],'Basic Data'!$T:$U,2,0),"")</f>
        <v>Blade Position Meas. Error</v>
      </c>
      <c r="M63" s="364" t="s">
        <v>462</v>
      </c>
      <c r="N63" s="371"/>
      <c r="O63" s="365">
        <v>0.7583333333333333</v>
      </c>
      <c r="P63" s="365">
        <v>0.7583333333333333</v>
      </c>
      <c r="Q63" s="365">
        <v>0.77430555555555558</v>
      </c>
      <c r="R63" s="366">
        <f>IF(Table6[[#This Row],[Work Start TimeStamp]]="","",(Table6[[#This Row],[Work Start TimeStamp]]-Table6[[#This Row],[Fault Start TimeStamp]])*24)</f>
        <v>0</v>
      </c>
      <c r="S63" s="367">
        <f>(Table6[[#This Row],[Fault Clearance time]]-Table6[[#This Row],[Work Start TimeStamp]])*24</f>
        <v>0.38333333333333464</v>
      </c>
      <c r="T63" s="368">
        <f>(Table6[[#This Row],[Fault Clearance time]]-Table6[[#This Row],[Fault Start TimeStamp]])*24</f>
        <v>0.38333333333333464</v>
      </c>
      <c r="U63" s="364" t="s">
        <v>480</v>
      </c>
      <c r="V63" s="369" t="s">
        <v>463</v>
      </c>
      <c r="W63" s="354">
        <f>Table6[[#This Row],[Breakdown Time]]*(1/39)</f>
        <v>9.8290598290598618E-3</v>
      </c>
      <c r="X63" s="352" t="s">
        <v>465</v>
      </c>
      <c r="Y63" s="370" t="s">
        <v>133</v>
      </c>
      <c r="Z63" s="121">
        <v>8564</v>
      </c>
      <c r="AA63" s="123">
        <v>136.78611111111158</v>
      </c>
      <c r="AB63" s="121" t="s">
        <v>478</v>
      </c>
    </row>
    <row r="64" spans="1:28">
      <c r="A64" s="121">
        <f t="shared" si="0"/>
        <v>63</v>
      </c>
      <c r="B64" s="123">
        <f>YEAR(Table6[[#This Row],[Date]])+IF(MONTH(Table6[[#This Row],[Date]])&gt;=4,1,0)</f>
        <v>2025</v>
      </c>
      <c r="C64" s="121">
        <f>YEAR(Table6[[#This Row],[Date]])</f>
        <v>2025</v>
      </c>
      <c r="D64" s="121" t="s">
        <v>490</v>
      </c>
      <c r="E64" s="135">
        <f>Table6[[#This Row],[Date]]-DAY(Table6[[#This Row],[Date]])+1</f>
        <v>45717</v>
      </c>
      <c r="F64" s="134">
        <v>45747</v>
      </c>
      <c r="G64" s="121" t="s">
        <v>132</v>
      </c>
      <c r="H64" s="39" t="str">
        <f>_xlfn.XLOOKUP(Table6[[#This Row],[Affected WTG]],'Basic Data'!$A:$A,'Basic Data'!$B:$B)</f>
        <v>PWEGPL</v>
      </c>
      <c r="I64" s="39" t="str">
        <f>_xlfn.XLOOKUP(Table6[[#This Row],[Affected WTG]],'Basic Data'!$A:$A,'Basic Data'!$C:$C)</f>
        <v>MSEDCL</v>
      </c>
      <c r="J64" s="363">
        <f>IFERROR(VLOOKUP(Table6[[#This Row],[Affected WTG]],'Basic Data'!$A$3:$E$56,5,0),"")</f>
        <v>2.564102564102564E-2</v>
      </c>
      <c r="K64" s="121">
        <v>812</v>
      </c>
      <c r="L64" s="39" t="str">
        <f>IFERROR(VLOOKUP(Table6[[#This Row],[Error Code]],'Basic Data'!$T:$U,2,0),"")</f>
        <v>Blade Position Meas. Error</v>
      </c>
      <c r="M64" s="364" t="s">
        <v>462</v>
      </c>
      <c r="O64" s="365">
        <v>0.85972222222222228</v>
      </c>
      <c r="P64" s="365">
        <v>0.89513888888888893</v>
      </c>
      <c r="Q64" s="365">
        <v>0.89583333333333337</v>
      </c>
      <c r="R64" s="366">
        <f>IF(Table6[[#This Row],[Work Start TimeStamp]]="","",(Table6[[#This Row],[Work Start TimeStamp]]-Table6[[#This Row],[Fault Start TimeStamp]])*24)</f>
        <v>0.84999999999999964</v>
      </c>
      <c r="S64" s="367">
        <f>(Table6[[#This Row],[Fault Clearance time]]-Table6[[#This Row],[Work Start TimeStamp]])*24</f>
        <v>1.6666666666666607E-2</v>
      </c>
      <c r="T64" s="368">
        <f>(Table6[[#This Row],[Fault Clearance time]]-Table6[[#This Row],[Fault Start TimeStamp]])*24</f>
        <v>0.86666666666666625</v>
      </c>
      <c r="U64" s="364" t="s">
        <v>480</v>
      </c>
      <c r="V64" s="369" t="s">
        <v>463</v>
      </c>
      <c r="W64" s="354">
        <f>Table6[[#This Row],[Breakdown Time]]*(1/39)</f>
        <v>2.2222222222222209E-2</v>
      </c>
      <c r="X64" s="352" t="s">
        <v>465</v>
      </c>
      <c r="Y64" s="370" t="s">
        <v>133</v>
      </c>
      <c r="Z64" s="121">
        <v>8564</v>
      </c>
      <c r="AA64" s="123">
        <v>309.25555555555542</v>
      </c>
      <c r="AB64" s="121" t="s">
        <v>478</v>
      </c>
    </row>
    <row r="65" spans="1:28">
      <c r="A65" s="121">
        <f t="shared" si="0"/>
        <v>64</v>
      </c>
      <c r="B65" s="123">
        <f>YEAR(Table6[[#This Row],[Date]])+IF(MONTH(Table6[[#This Row],[Date]])&gt;=4,1,0)</f>
        <v>2025</v>
      </c>
      <c r="C65" s="121">
        <f>YEAR(Table6[[#This Row],[Date]])</f>
        <v>2025</v>
      </c>
      <c r="D65" s="121" t="s">
        <v>490</v>
      </c>
      <c r="E65" s="135">
        <f>Table6[[#This Row],[Date]]-DAY(Table6[[#This Row],[Date]])+1</f>
        <v>45717</v>
      </c>
      <c r="F65" s="134">
        <v>45747</v>
      </c>
      <c r="G65" s="121" t="s">
        <v>135</v>
      </c>
      <c r="H65" s="39" t="str">
        <f>_xlfn.XLOOKUP(Table6[[#This Row],[Affected WTG]],'Basic Data'!$A:$A,'Basic Data'!$B:$B)</f>
        <v>PWEGPL</v>
      </c>
      <c r="I65" s="39" t="str">
        <f>_xlfn.XLOOKUP(Table6[[#This Row],[Affected WTG]],'Basic Data'!$A:$A,'Basic Data'!$C:$C)</f>
        <v>MSEDCL</v>
      </c>
      <c r="J65" s="363">
        <f>IFERROR(VLOOKUP(Table6[[#This Row],[Affected WTG]],'Basic Data'!$A$3:$E$56,5,0),"")</f>
        <v>2.564102564102564E-2</v>
      </c>
      <c r="K65" s="121">
        <v>5228</v>
      </c>
      <c r="L65" s="39" t="str">
        <f>IFERROR(VLOOKUP(Table6[[#This Row],[Error Code]],'Basic Data'!$T:$U,2,0),"")</f>
        <v>Preload Failure</v>
      </c>
      <c r="M65" s="364" t="s">
        <v>462</v>
      </c>
      <c r="N65" s="371"/>
      <c r="O65" s="365">
        <v>0.81805555555555554</v>
      </c>
      <c r="P65" s="365">
        <v>0.99305555555555558</v>
      </c>
      <c r="Q65" s="365">
        <v>0.99583333333333335</v>
      </c>
      <c r="R65" s="366">
        <f>IF(Table6[[#This Row],[Work Start TimeStamp]]="","",(Table6[[#This Row],[Work Start TimeStamp]]-Table6[[#This Row],[Fault Start TimeStamp]])*24)</f>
        <v>4.2000000000000011</v>
      </c>
      <c r="S65" s="367">
        <f>(Table6[[#This Row],[Fault Clearance time]]-Table6[[#This Row],[Work Start TimeStamp]])*24</f>
        <v>6.666666666666643E-2</v>
      </c>
      <c r="T65" s="368">
        <f>(Table6[[#This Row],[Fault Clearance time]]-Table6[[#This Row],[Fault Start TimeStamp]])*24</f>
        <v>4.2666666666666675</v>
      </c>
      <c r="U65" s="364" t="s">
        <v>491</v>
      </c>
      <c r="V65" s="369" t="s">
        <v>463</v>
      </c>
      <c r="W65" s="354">
        <f>Table6[[#This Row],[Breakdown Time]]*(1/39)</f>
        <v>0.10940170940170942</v>
      </c>
      <c r="X65" s="352" t="s">
        <v>465</v>
      </c>
      <c r="Y65" s="370" t="s">
        <v>136</v>
      </c>
      <c r="Z65" s="121">
        <v>3920</v>
      </c>
      <c r="AA65" s="123">
        <v>696.88888888888903</v>
      </c>
      <c r="AB65" s="121" t="s">
        <v>478</v>
      </c>
    </row>
    <row r="66" spans="1:28">
      <c r="A66" s="121">
        <f t="shared" si="0"/>
        <v>65</v>
      </c>
      <c r="B66" s="123">
        <f>YEAR(Table6[[#This Row],[Date]])+IF(MONTH(Table6[[#This Row],[Date]])&gt;=4,1,0)</f>
        <v>2025</v>
      </c>
      <c r="C66" s="121">
        <f>YEAR(Table6[[#This Row],[Date]])</f>
        <v>2025</v>
      </c>
      <c r="D66" s="121" t="s">
        <v>490</v>
      </c>
      <c r="E66" s="135">
        <f>Table6[[#This Row],[Date]]-DAY(Table6[[#This Row],[Date]])+1</f>
        <v>45717</v>
      </c>
      <c r="F66" s="134">
        <v>45747</v>
      </c>
      <c r="G66" s="121" t="s">
        <v>136</v>
      </c>
      <c r="H66" s="39" t="str">
        <f>_xlfn.XLOOKUP(Table6[[#This Row],[Affected WTG]],'Basic Data'!$A:$A,'Basic Data'!$B:$B)</f>
        <v>PWEGPL</v>
      </c>
      <c r="I66" s="39" t="str">
        <f>_xlfn.XLOOKUP(Table6[[#This Row],[Affected WTG]],'Basic Data'!$A:$A,'Basic Data'!$C:$C)</f>
        <v>MSEDCL</v>
      </c>
      <c r="J66" s="363">
        <f>IFERROR(VLOOKUP(Table6[[#This Row],[Affected WTG]],'Basic Data'!$A$3:$E$56,5,0),"")</f>
        <v>2.564102564102564E-2</v>
      </c>
      <c r="K66" s="121">
        <v>402</v>
      </c>
      <c r="L66" s="39" t="str">
        <f>IFERROR(VLOOKUP(Table6[[#This Row],[Error Code]],'Basic Data'!$T:$U,2,0),"")</f>
        <v>Gearbox Oil Level Low</v>
      </c>
      <c r="M66" s="364" t="s">
        <v>462</v>
      </c>
      <c r="O66" s="365">
        <v>0.81736111111111109</v>
      </c>
      <c r="P66" s="365">
        <v>0.98333333333333328</v>
      </c>
      <c r="Q66" s="365">
        <v>0.99930555555555556</v>
      </c>
      <c r="R66" s="366">
        <f>IF(Table6[[#This Row],[Work Start TimeStamp]]="","",(Table6[[#This Row],[Work Start TimeStamp]]-Table6[[#This Row],[Fault Start TimeStamp]])*24)</f>
        <v>3.9833333333333325</v>
      </c>
      <c r="S66" s="367">
        <f>(Table6[[#This Row],[Fault Clearance time]]-Table6[[#This Row],[Work Start TimeStamp]])*24</f>
        <v>0.38333333333333464</v>
      </c>
      <c r="T66" s="368">
        <f>(Table6[[#This Row],[Fault Clearance time]]-Table6[[#This Row],[Fault Start TimeStamp]])*24</f>
        <v>4.3666666666666671</v>
      </c>
      <c r="U66" s="364" t="s">
        <v>500</v>
      </c>
      <c r="V66" s="369" t="s">
        <v>473</v>
      </c>
      <c r="W66" s="354">
        <f>Table6[[#This Row],[Breakdown Time]]*(1/39)</f>
        <v>0.11196581196581197</v>
      </c>
      <c r="X66" s="352" t="s">
        <v>465</v>
      </c>
      <c r="Y66" s="370" t="s">
        <v>135</v>
      </c>
      <c r="Z66" s="121">
        <v>6850</v>
      </c>
      <c r="AA66" s="123">
        <v>1246.3194444444446</v>
      </c>
      <c r="AB66" s="121" t="s">
        <v>478</v>
      </c>
    </row>
    <row r="67" spans="1:28">
      <c r="A67" s="121">
        <f t="shared" si="0"/>
        <v>66</v>
      </c>
      <c r="B67" s="123">
        <f>YEAR(Table6[[#This Row],[Date]])+IF(MONTH(Table6[[#This Row],[Date]])&gt;=4,1,0)</f>
        <v>2025</v>
      </c>
      <c r="C67" s="121">
        <f>YEAR(Table6[[#This Row],[Date]])</f>
        <v>2025</v>
      </c>
      <c r="D67" s="121" t="s">
        <v>490</v>
      </c>
      <c r="E67" s="135">
        <f>Table6[[#This Row],[Date]]-DAY(Table6[[#This Row],[Date]])+1</f>
        <v>45717</v>
      </c>
      <c r="F67" s="134">
        <v>45747</v>
      </c>
      <c r="G67" s="121" t="s">
        <v>137</v>
      </c>
      <c r="H67" s="39" t="str">
        <f>_xlfn.XLOOKUP(Table6[[#This Row],[Affected WTG]],'Basic Data'!$A:$A,'Basic Data'!$B:$B)</f>
        <v>PWEGPL</v>
      </c>
      <c r="I67" s="39" t="str">
        <f>_xlfn.XLOOKUP(Table6[[#This Row],[Affected WTG]],'Basic Data'!$A:$A,'Basic Data'!$C:$C)</f>
        <v>MSEDCL</v>
      </c>
      <c r="J67" s="363">
        <f>IFERROR(VLOOKUP(Table6[[#This Row],[Affected WTG]],'Basic Data'!$A$3:$E$56,5,0),"")</f>
        <v>2.564102564102564E-2</v>
      </c>
      <c r="K67" s="121">
        <v>2102</v>
      </c>
      <c r="L67" s="39" t="str">
        <f>IFERROR(VLOOKUP(Table6[[#This Row],[Error Code]],'Basic Data'!$T:$U,2,0),"")</f>
        <v>PLC Module Failure</v>
      </c>
      <c r="M67" s="364" t="s">
        <v>462</v>
      </c>
      <c r="N67" s="371"/>
      <c r="O67" s="365">
        <v>0.59097222222222223</v>
      </c>
      <c r="P67" s="365">
        <v>0.61458333333333337</v>
      </c>
      <c r="Q67" s="365">
        <v>0.72638888888888886</v>
      </c>
      <c r="R67" s="366">
        <f>IF(Table6[[#This Row],[Work Start TimeStamp]]="","",(Table6[[#This Row],[Work Start TimeStamp]]-Table6[[#This Row],[Fault Start TimeStamp]])*24)</f>
        <v>0.56666666666666732</v>
      </c>
      <c r="S67" s="367">
        <f>(Table6[[#This Row],[Fault Clearance time]]-Table6[[#This Row],[Work Start TimeStamp]])*24</f>
        <v>2.6833333333333318</v>
      </c>
      <c r="T67" s="368">
        <f>(Table6[[#This Row],[Fault Clearance time]]-Table6[[#This Row],[Fault Start TimeStamp]])*24</f>
        <v>3.2499999999999991</v>
      </c>
      <c r="U67" s="364" t="s">
        <v>517</v>
      </c>
      <c r="V67" s="369" t="s">
        <v>463</v>
      </c>
      <c r="W67" s="354">
        <f>Table6[[#This Row],[Breakdown Time]]*(1/39)</f>
        <v>8.3333333333333301E-2</v>
      </c>
      <c r="X67" s="352" t="s">
        <v>465</v>
      </c>
      <c r="Y67" s="370" t="s">
        <v>136</v>
      </c>
      <c r="Z67" s="121">
        <v>3920</v>
      </c>
      <c r="AA67" s="123">
        <v>530.83333333333326</v>
      </c>
      <c r="AB67" s="121" t="s">
        <v>478</v>
      </c>
    </row>
    <row r="68" spans="1:28">
      <c r="A68" s="121">
        <f t="shared" ref="A68:A131" si="1">A67+1</f>
        <v>67</v>
      </c>
      <c r="B68" s="123">
        <f>YEAR(Table6[[#This Row],[Date]])+IF(MONTH(Table6[[#This Row],[Date]])&gt;=4,1,0)</f>
        <v>2025</v>
      </c>
      <c r="C68" s="121">
        <f>YEAR(Table6[[#This Row],[Date]])</f>
        <v>2025</v>
      </c>
      <c r="D68" s="121" t="s">
        <v>490</v>
      </c>
      <c r="E68" s="135">
        <f>Table6[[#This Row],[Date]]-DAY(Table6[[#This Row],[Date]])+1</f>
        <v>45717</v>
      </c>
      <c r="F68" s="134">
        <v>45747</v>
      </c>
      <c r="G68" s="121" t="s">
        <v>137</v>
      </c>
      <c r="H68" s="39" t="str">
        <f>_xlfn.XLOOKUP(Table6[[#This Row],[Affected WTG]],'Basic Data'!$A:$A,'Basic Data'!$B:$B)</f>
        <v>PWEGPL</v>
      </c>
      <c r="I68" s="39" t="str">
        <f>_xlfn.XLOOKUP(Table6[[#This Row],[Affected WTG]],'Basic Data'!$A:$A,'Basic Data'!$C:$C)</f>
        <v>MSEDCL</v>
      </c>
      <c r="J68" s="363">
        <f>IFERROR(VLOOKUP(Table6[[#This Row],[Affected WTG]],'Basic Data'!$A$3:$E$56,5,0),"")</f>
        <v>2.564102564102564E-2</v>
      </c>
      <c r="K68" s="121">
        <v>222</v>
      </c>
      <c r="L68" s="39" t="str">
        <f>IFERROR(VLOOKUP(Table6[[#This Row],[Error Code]],'Basic Data'!$T:$U,2,0),"")</f>
        <v>Very Low Pressure On Hydraulic Unit</v>
      </c>
      <c r="M68" s="364" t="s">
        <v>462</v>
      </c>
      <c r="O68" s="365">
        <v>0.87986111111111109</v>
      </c>
      <c r="P68" s="365">
        <v>0.89444444444444449</v>
      </c>
      <c r="Q68" s="365">
        <v>0.89513888888888893</v>
      </c>
      <c r="R68" s="366">
        <f>IF(Table6[[#This Row],[Work Start TimeStamp]]="","",(Table6[[#This Row],[Work Start TimeStamp]]-Table6[[#This Row],[Fault Start TimeStamp]])*24)</f>
        <v>0.35000000000000142</v>
      </c>
      <c r="S68" s="367">
        <f>(Table6[[#This Row],[Fault Clearance time]]-Table6[[#This Row],[Work Start TimeStamp]])*24</f>
        <v>1.6666666666666607E-2</v>
      </c>
      <c r="T68" s="368">
        <f>(Table6[[#This Row],[Fault Clearance time]]-Table6[[#This Row],[Fault Start TimeStamp]])*24</f>
        <v>0.36666666666666803</v>
      </c>
      <c r="U68" s="364" t="s">
        <v>493</v>
      </c>
      <c r="V68" s="369" t="s">
        <v>463</v>
      </c>
      <c r="W68" s="354">
        <f>Table6[[#This Row],[Breakdown Time]]*(1/39)</f>
        <v>9.401709401709436E-3</v>
      </c>
      <c r="X68" s="352" t="s">
        <v>465</v>
      </c>
      <c r="Y68" s="370" t="s">
        <v>136</v>
      </c>
      <c r="Z68" s="121">
        <v>3920</v>
      </c>
      <c r="AA68" s="123">
        <v>59.888888888889113</v>
      </c>
      <c r="AB68" s="121" t="s">
        <v>478</v>
      </c>
    </row>
    <row r="69" spans="1:28">
      <c r="A69" s="121">
        <f t="shared" si="1"/>
        <v>68</v>
      </c>
      <c r="B69" s="123">
        <f>YEAR(Table6[[#This Row],[Date]])+IF(MONTH(Table6[[#This Row],[Date]])&gt;=4,1,0)</f>
        <v>2025</v>
      </c>
      <c r="C69" s="121">
        <f>YEAR(Table6[[#This Row],[Date]])</f>
        <v>2025</v>
      </c>
      <c r="D69" s="121" t="s">
        <v>490</v>
      </c>
      <c r="E69" s="135">
        <f>Table6[[#This Row],[Date]]-DAY(Table6[[#This Row],[Date]])+1</f>
        <v>45717</v>
      </c>
      <c r="F69" s="134">
        <v>45747</v>
      </c>
      <c r="G69" s="121" t="s">
        <v>139</v>
      </c>
      <c r="H69" s="39" t="str">
        <f>_xlfn.XLOOKUP(Table6[[#This Row],[Affected WTG]],'Basic Data'!$A:$A,'Basic Data'!$B:$B)</f>
        <v>PWEGPL</v>
      </c>
      <c r="I69" s="39" t="str">
        <f>_xlfn.XLOOKUP(Table6[[#This Row],[Affected WTG]],'Basic Data'!$A:$A,'Basic Data'!$C:$C)</f>
        <v>MSEDCL</v>
      </c>
      <c r="J69" s="363">
        <f>IFERROR(VLOOKUP(Table6[[#This Row],[Affected WTG]],'Basic Data'!$A$3:$E$56,5,0),"")</f>
        <v>2.564102564102564E-2</v>
      </c>
      <c r="K69" s="121">
        <v>205</v>
      </c>
      <c r="L69" s="39" t="str">
        <f>IFERROR(VLOOKUP(Table6[[#This Row],[Error Code]],'Basic Data'!$T:$U,2,0),"")</f>
        <v>Low Level Hydraulic Group Refrigeration Oil</v>
      </c>
      <c r="M69" s="364" t="s">
        <v>462</v>
      </c>
      <c r="N69" s="371"/>
      <c r="O69" s="365">
        <v>0.14374999999999999</v>
      </c>
      <c r="P69" s="365">
        <v>0.14374999999999999</v>
      </c>
      <c r="Q69" s="365">
        <v>0.18124999999999999</v>
      </c>
      <c r="R69" s="366">
        <f>IF(Table6[[#This Row],[Work Start TimeStamp]]="","",(Table6[[#This Row],[Work Start TimeStamp]]-Table6[[#This Row],[Fault Start TimeStamp]])*24)</f>
        <v>0</v>
      </c>
      <c r="S69" s="367">
        <f>(Table6[[#This Row],[Fault Clearance time]]-Table6[[#This Row],[Work Start TimeStamp]])*24</f>
        <v>0.90000000000000013</v>
      </c>
      <c r="T69" s="368">
        <f>(Table6[[#This Row],[Fault Clearance time]]-Table6[[#This Row],[Fault Start TimeStamp]])*24</f>
        <v>0.90000000000000013</v>
      </c>
      <c r="U69" s="364" t="s">
        <v>493</v>
      </c>
      <c r="V69" s="369" t="s">
        <v>463</v>
      </c>
      <c r="W69" s="354">
        <f>Table6[[#This Row],[Breakdown Time]]*(1/39)</f>
        <v>2.3076923076923078E-2</v>
      </c>
      <c r="X69" s="352" t="s">
        <v>465</v>
      </c>
      <c r="Y69" s="370" t="s">
        <v>145</v>
      </c>
      <c r="Z69" s="121">
        <v>5080</v>
      </c>
      <c r="AA69" s="123">
        <v>190.50000000000003</v>
      </c>
      <c r="AB69" s="121" t="s">
        <v>478</v>
      </c>
    </row>
    <row r="70" spans="1:28">
      <c r="A70" s="121">
        <f t="shared" si="1"/>
        <v>69</v>
      </c>
      <c r="B70" s="123">
        <f>YEAR(Table6[[#This Row],[Date]])+IF(MONTH(Table6[[#This Row],[Date]])&gt;=4,1,0)</f>
        <v>2025</v>
      </c>
      <c r="C70" s="121">
        <f>YEAR(Table6[[#This Row],[Date]])</f>
        <v>2025</v>
      </c>
      <c r="D70" s="121" t="s">
        <v>490</v>
      </c>
      <c r="E70" s="135">
        <f>Table6[[#This Row],[Date]]-DAY(Table6[[#This Row],[Date]])+1</f>
        <v>45717</v>
      </c>
      <c r="F70" s="134">
        <v>45747</v>
      </c>
      <c r="G70" s="121" t="s">
        <v>139</v>
      </c>
      <c r="H70" s="39" t="str">
        <f>_xlfn.XLOOKUP(Table6[[#This Row],[Affected WTG]],'Basic Data'!$A:$A,'Basic Data'!$B:$B)</f>
        <v>PWEGPL</v>
      </c>
      <c r="I70" s="39" t="str">
        <f>_xlfn.XLOOKUP(Table6[[#This Row],[Affected WTG]],'Basic Data'!$A:$A,'Basic Data'!$C:$C)</f>
        <v>MSEDCL</v>
      </c>
      <c r="J70" s="363">
        <f>IFERROR(VLOOKUP(Table6[[#This Row],[Affected WTG]],'Basic Data'!$A$3:$E$56,5,0),"")</f>
        <v>2.564102564102564E-2</v>
      </c>
      <c r="K70" s="121">
        <v>205</v>
      </c>
      <c r="L70" s="39" t="str">
        <f>IFERROR(VLOOKUP(Table6[[#This Row],[Error Code]],'Basic Data'!$T:$U,2,0),"")</f>
        <v>Low Level Hydraulic Group Refrigeration Oil</v>
      </c>
      <c r="M70" s="364" t="s">
        <v>462</v>
      </c>
      <c r="O70" s="365">
        <v>0.38194444444444442</v>
      </c>
      <c r="P70" s="365">
        <v>0.48055555555555557</v>
      </c>
      <c r="Q70" s="365">
        <v>0.70347222222222228</v>
      </c>
      <c r="R70" s="366">
        <f>IF(Table6[[#This Row],[Work Start TimeStamp]]="","",(Table6[[#This Row],[Work Start TimeStamp]]-Table6[[#This Row],[Fault Start TimeStamp]])*24)</f>
        <v>2.3666666666666676</v>
      </c>
      <c r="S70" s="367">
        <f>(Table6[[#This Row],[Fault Clearance time]]-Table6[[#This Row],[Work Start TimeStamp]])*24</f>
        <v>5.3500000000000014</v>
      </c>
      <c r="T70" s="368">
        <f>(Table6[[#This Row],[Fault Clearance time]]-Table6[[#This Row],[Fault Start TimeStamp]])*24</f>
        <v>7.7166666666666686</v>
      </c>
      <c r="U70" s="364" t="s">
        <v>518</v>
      </c>
      <c r="V70" s="369" t="s">
        <v>463</v>
      </c>
      <c r="W70" s="354">
        <f>Table6[[#This Row],[Breakdown Time]]*(1/39)</f>
        <v>0.19786324786324791</v>
      </c>
      <c r="X70" s="352" t="s">
        <v>465</v>
      </c>
      <c r="Y70" s="370" t="s">
        <v>145</v>
      </c>
      <c r="Z70" s="121">
        <v>5080</v>
      </c>
      <c r="AA70" s="123">
        <v>1633.3611111111115</v>
      </c>
      <c r="AB70" s="121" t="s">
        <v>478</v>
      </c>
    </row>
    <row r="71" spans="1:28">
      <c r="A71" s="121">
        <f t="shared" si="1"/>
        <v>70</v>
      </c>
      <c r="B71" s="123">
        <f>YEAR(Table6[[#This Row],[Date]])+IF(MONTH(Table6[[#This Row],[Date]])&gt;=4,1,0)</f>
        <v>2025</v>
      </c>
      <c r="C71" s="121">
        <f>YEAR(Table6[[#This Row],[Date]])</f>
        <v>2025</v>
      </c>
      <c r="D71" s="121" t="s">
        <v>490</v>
      </c>
      <c r="E71" s="135">
        <f>Table6[[#This Row],[Date]]-DAY(Table6[[#This Row],[Date]])+1</f>
        <v>45717</v>
      </c>
      <c r="F71" s="134">
        <v>45747</v>
      </c>
      <c r="G71" s="121" t="s">
        <v>139</v>
      </c>
      <c r="H71" s="39" t="str">
        <f>_xlfn.XLOOKUP(Table6[[#This Row],[Affected WTG]],'Basic Data'!$A:$A,'Basic Data'!$B:$B)</f>
        <v>PWEGPL</v>
      </c>
      <c r="I71" s="39" t="str">
        <f>_xlfn.XLOOKUP(Table6[[#This Row],[Affected WTG]],'Basic Data'!$A:$A,'Basic Data'!$C:$C)</f>
        <v>MSEDCL</v>
      </c>
      <c r="J71" s="363">
        <f>IFERROR(VLOOKUP(Table6[[#This Row],[Affected WTG]],'Basic Data'!$A$3:$E$56,5,0),"")</f>
        <v>2.564102564102564E-2</v>
      </c>
      <c r="K71" s="121">
        <v>222</v>
      </c>
      <c r="L71" s="39" t="str">
        <f>IFERROR(VLOOKUP(Table6[[#This Row],[Error Code]],'Basic Data'!$T:$U,2,0),"")</f>
        <v>Very Low Pressure On Hydraulic Unit</v>
      </c>
      <c r="M71" s="364" t="s">
        <v>462</v>
      </c>
      <c r="N71" s="371"/>
      <c r="O71" s="365">
        <v>0.80555555555555558</v>
      </c>
      <c r="P71" s="365">
        <v>0.80555555555555558</v>
      </c>
      <c r="Q71" s="365">
        <v>0.82638888888888884</v>
      </c>
      <c r="R71" s="366">
        <f>IF(Table6[[#This Row],[Work Start TimeStamp]]="","",(Table6[[#This Row],[Work Start TimeStamp]]-Table6[[#This Row],[Fault Start TimeStamp]])*24)</f>
        <v>0</v>
      </c>
      <c r="S71" s="367">
        <f>(Table6[[#This Row],[Fault Clearance time]]-Table6[[#This Row],[Work Start TimeStamp]])*24</f>
        <v>0.49999999999999822</v>
      </c>
      <c r="T71" s="368">
        <f>(Table6[[#This Row],[Fault Clearance time]]-Table6[[#This Row],[Fault Start TimeStamp]])*24</f>
        <v>0.49999999999999822</v>
      </c>
      <c r="U71" s="364" t="s">
        <v>493</v>
      </c>
      <c r="V71" s="369" t="s">
        <v>463</v>
      </c>
      <c r="W71" s="354">
        <f>Table6[[#This Row],[Breakdown Time]]*(1/39)</f>
        <v>1.2820512820512775E-2</v>
      </c>
      <c r="X71" s="352" t="s">
        <v>465</v>
      </c>
      <c r="Y71" s="370" t="s">
        <v>145</v>
      </c>
      <c r="Z71" s="121">
        <v>5080</v>
      </c>
      <c r="AA71" s="123">
        <v>105.83333333333296</v>
      </c>
      <c r="AB71" s="121" t="s">
        <v>478</v>
      </c>
    </row>
    <row r="72" spans="1:28">
      <c r="A72" s="121">
        <f t="shared" si="1"/>
        <v>71</v>
      </c>
      <c r="B72" s="123">
        <f>YEAR(Table6[[#This Row],[Date]])+IF(MONTH(Table6[[#This Row],[Date]])&gt;=4,1,0)</f>
        <v>2025</v>
      </c>
      <c r="C72" s="121">
        <f>YEAR(Table6[[#This Row],[Date]])</f>
        <v>2025</v>
      </c>
      <c r="D72" s="121" t="s">
        <v>490</v>
      </c>
      <c r="E72" s="135">
        <f>Table6[[#This Row],[Date]]-DAY(Table6[[#This Row],[Date]])+1</f>
        <v>45717</v>
      </c>
      <c r="F72" s="134">
        <v>45747</v>
      </c>
      <c r="G72" s="121" t="s">
        <v>140</v>
      </c>
      <c r="H72" s="39" t="str">
        <f>_xlfn.XLOOKUP(Table6[[#This Row],[Affected WTG]],'Basic Data'!$A:$A,'Basic Data'!$B:$B)</f>
        <v>PWEGPL</v>
      </c>
      <c r="I72" s="39" t="str">
        <f>_xlfn.XLOOKUP(Table6[[#This Row],[Affected WTG]],'Basic Data'!$A:$A,'Basic Data'!$C:$C)</f>
        <v>MSEDCL</v>
      </c>
      <c r="J72" s="363">
        <f>IFERROR(VLOOKUP(Table6[[#This Row],[Affected WTG]],'Basic Data'!$A$3:$E$56,5,0),"")</f>
        <v>2.564102564102564E-2</v>
      </c>
      <c r="K72" s="121">
        <v>426</v>
      </c>
      <c r="L72" s="39" t="str">
        <f>IFERROR(VLOOKUP(Table6[[#This Row],[Error Code]],'Basic Data'!$T:$U,2,0),"")</f>
        <v>Rotor Speed Reading Failure</v>
      </c>
      <c r="M72" s="364" t="s">
        <v>462</v>
      </c>
      <c r="O72" s="365">
        <v>0.87638888888888888</v>
      </c>
      <c r="P72" s="365">
        <v>0.87638888888888888</v>
      </c>
      <c r="Q72" s="365">
        <v>0.87986111111111109</v>
      </c>
      <c r="R72" s="366">
        <f>IF(Table6[[#This Row],[Work Start TimeStamp]]="","",(Table6[[#This Row],[Work Start TimeStamp]]-Table6[[#This Row],[Fault Start TimeStamp]])*24)</f>
        <v>0</v>
      </c>
      <c r="S72" s="367">
        <f>(Table6[[#This Row],[Fault Clearance time]]-Table6[[#This Row],[Work Start TimeStamp]])*24</f>
        <v>8.3333333333333037E-2</v>
      </c>
      <c r="T72" s="368">
        <f>(Table6[[#This Row],[Fault Clearance time]]-Table6[[#This Row],[Fault Start TimeStamp]])*24</f>
        <v>8.3333333333333037E-2</v>
      </c>
      <c r="U72" s="364" t="s">
        <v>480</v>
      </c>
      <c r="V72" s="369" t="s">
        <v>463</v>
      </c>
      <c r="W72" s="354">
        <f>Table6[[#This Row],[Breakdown Time]]*(1/39)</f>
        <v>2.1367521367521292E-3</v>
      </c>
      <c r="X72" s="352" t="s">
        <v>465</v>
      </c>
      <c r="Y72" s="370" t="s">
        <v>138</v>
      </c>
      <c r="Z72" s="121">
        <v>7082</v>
      </c>
      <c r="AA72" s="123">
        <v>24.59027777777769</v>
      </c>
      <c r="AB72" s="121" t="s">
        <v>478</v>
      </c>
    </row>
    <row r="73" spans="1:28">
      <c r="A73" s="121">
        <f t="shared" si="1"/>
        <v>72</v>
      </c>
      <c r="B73" s="123">
        <f>YEAR(Table6[[#This Row],[Date]])+IF(MONTH(Table6[[#This Row],[Date]])&gt;=4,1,0)</f>
        <v>2025</v>
      </c>
      <c r="C73" s="121">
        <f>YEAR(Table6[[#This Row],[Date]])</f>
        <v>2025</v>
      </c>
      <c r="D73" s="121" t="s">
        <v>490</v>
      </c>
      <c r="E73" s="135">
        <f>Table6[[#This Row],[Date]]-DAY(Table6[[#This Row],[Date]])+1</f>
        <v>45717</v>
      </c>
      <c r="F73" s="134">
        <v>45747</v>
      </c>
      <c r="G73" s="121" t="s">
        <v>143</v>
      </c>
      <c r="H73" s="39" t="str">
        <f>_xlfn.XLOOKUP(Table6[[#This Row],[Affected WTG]],'Basic Data'!$A:$A,'Basic Data'!$B:$B)</f>
        <v>PWEGPL</v>
      </c>
      <c r="I73" s="39" t="str">
        <f>_xlfn.XLOOKUP(Table6[[#This Row],[Affected WTG]],'Basic Data'!$A:$A,'Basic Data'!$C:$C)</f>
        <v>MSEDCL</v>
      </c>
      <c r="J73" s="363">
        <f>IFERROR(VLOOKUP(Table6[[#This Row],[Affected WTG]],'Basic Data'!$A$3:$E$56,5,0),"")</f>
        <v>2.564102564102564E-2</v>
      </c>
      <c r="K73" s="121">
        <v>5216</v>
      </c>
      <c r="L73" s="39" t="str">
        <f>IFERROR(VLOOKUP(Table6[[#This Row],[Error Code]],'Basic Data'!$T:$U,2,0),"")</f>
        <v>Grid Voltage Failure</v>
      </c>
      <c r="M73" s="364" t="s">
        <v>462</v>
      </c>
      <c r="N73" s="371"/>
      <c r="O73" s="365">
        <v>0.81736111111111109</v>
      </c>
      <c r="P73" s="365">
        <v>0.81736111111111109</v>
      </c>
      <c r="Q73" s="365">
        <v>0.99930555555555556</v>
      </c>
      <c r="R73" s="366">
        <f>IF(Table6[[#This Row],[Work Start TimeStamp]]="","",(Table6[[#This Row],[Work Start TimeStamp]]-Table6[[#This Row],[Fault Start TimeStamp]])*24)</f>
        <v>0</v>
      </c>
      <c r="S73" s="367">
        <f>(Table6[[#This Row],[Fault Clearance time]]-Table6[[#This Row],[Work Start TimeStamp]])*24</f>
        <v>4.3666666666666671</v>
      </c>
      <c r="T73" s="368">
        <f>(Table6[[#This Row],[Fault Clearance time]]-Table6[[#This Row],[Fault Start TimeStamp]])*24</f>
        <v>4.3666666666666671</v>
      </c>
      <c r="U73" s="364" t="s">
        <v>500</v>
      </c>
      <c r="V73" s="369" t="s">
        <v>473</v>
      </c>
      <c r="W73" s="354">
        <f>Table6[[#This Row],[Breakdown Time]]*(1/39)</f>
        <v>0.11196581196581197</v>
      </c>
      <c r="X73" s="352" t="s">
        <v>465</v>
      </c>
      <c r="Y73" s="370" t="s">
        <v>141</v>
      </c>
      <c r="Z73" s="121">
        <v>6006</v>
      </c>
      <c r="AA73" s="123">
        <v>1092.7583333333334</v>
      </c>
      <c r="AB73" s="121" t="s">
        <v>478</v>
      </c>
    </row>
    <row r="74" spans="1:28">
      <c r="A74" s="121">
        <f t="shared" si="1"/>
        <v>73</v>
      </c>
      <c r="B74" s="123">
        <f>YEAR(Table6[[#This Row],[Date]])+IF(MONTH(Table6[[#This Row],[Date]])&gt;=4,1,0)</f>
        <v>2025</v>
      </c>
      <c r="C74" s="121">
        <f>YEAR(Table6[[#This Row],[Date]])</f>
        <v>2025</v>
      </c>
      <c r="D74" s="121" t="s">
        <v>490</v>
      </c>
      <c r="E74" s="135">
        <f>Table6[[#This Row],[Date]]-DAY(Table6[[#This Row],[Date]])+1</f>
        <v>45717</v>
      </c>
      <c r="F74" s="134">
        <v>45747</v>
      </c>
      <c r="G74" s="121" t="s">
        <v>145</v>
      </c>
      <c r="H74" s="39" t="str">
        <f>_xlfn.XLOOKUP(Table6[[#This Row],[Affected WTG]],'Basic Data'!$A:$A,'Basic Data'!$B:$B)</f>
        <v>PWEGPL</v>
      </c>
      <c r="I74" s="39" t="str">
        <f>_xlfn.XLOOKUP(Table6[[#This Row],[Affected WTG]],'Basic Data'!$A:$A,'Basic Data'!$C:$C)</f>
        <v>MSEDCL</v>
      </c>
      <c r="J74" s="363">
        <f>IFERROR(VLOOKUP(Table6[[#This Row],[Affected WTG]],'Basic Data'!$A$3:$E$56,5,0),"")</f>
        <v>2.564102564102564E-2</v>
      </c>
      <c r="K74" s="121">
        <v>2102</v>
      </c>
      <c r="L74" s="39" t="str">
        <f>IFERROR(VLOOKUP(Table6[[#This Row],[Error Code]],'Basic Data'!$T:$U,2,0),"")</f>
        <v>PLC Module Failure</v>
      </c>
      <c r="M74" s="364" t="s">
        <v>462</v>
      </c>
      <c r="O74" s="365">
        <v>0.74652777777777779</v>
      </c>
      <c r="P74" s="365">
        <v>0.81597222222222221</v>
      </c>
      <c r="Q74" s="365">
        <v>0.81874999999999998</v>
      </c>
      <c r="R74" s="366">
        <f>IF(Table6[[#This Row],[Work Start TimeStamp]]="","",(Table6[[#This Row],[Work Start TimeStamp]]-Table6[[#This Row],[Fault Start TimeStamp]])*24)</f>
        <v>1.6666666666666661</v>
      </c>
      <c r="S74" s="367">
        <f>(Table6[[#This Row],[Fault Clearance time]]-Table6[[#This Row],[Work Start TimeStamp]])*24</f>
        <v>6.666666666666643E-2</v>
      </c>
      <c r="T74" s="368">
        <f>(Table6[[#This Row],[Fault Clearance time]]-Table6[[#This Row],[Fault Start TimeStamp]])*24</f>
        <v>1.7333333333333325</v>
      </c>
      <c r="U74" s="364" t="s">
        <v>491</v>
      </c>
      <c r="V74" s="369" t="s">
        <v>463</v>
      </c>
      <c r="W74" s="354">
        <f>Table6[[#This Row],[Breakdown Time]]*(1/39)</f>
        <v>4.4444444444444418E-2</v>
      </c>
      <c r="X74" s="352" t="s">
        <v>465</v>
      </c>
      <c r="Y74" s="370" t="s">
        <v>139</v>
      </c>
      <c r="Z74" s="121">
        <v>5480</v>
      </c>
      <c r="AA74" s="123">
        <v>395.7777777777776</v>
      </c>
      <c r="AB74" s="121" t="s">
        <v>478</v>
      </c>
    </row>
    <row r="75" spans="1:28">
      <c r="A75" s="121">
        <f t="shared" si="1"/>
        <v>74</v>
      </c>
      <c r="B75" s="123">
        <f>YEAR(Table6[[#This Row],[Date]])+IF(MONTH(Table6[[#This Row],[Date]])&gt;=4,1,0)</f>
        <v>2025</v>
      </c>
      <c r="C75" s="121">
        <f>YEAR(Table6[[#This Row],[Date]])</f>
        <v>2025</v>
      </c>
      <c r="D75" s="121" t="s">
        <v>490</v>
      </c>
      <c r="E75" s="135">
        <f>Table6[[#This Row],[Date]]-DAY(Table6[[#This Row],[Date]])+1</f>
        <v>45717</v>
      </c>
      <c r="F75" s="134">
        <v>45747</v>
      </c>
      <c r="G75" s="121" t="s">
        <v>146</v>
      </c>
      <c r="H75" s="39" t="str">
        <f>_xlfn.XLOOKUP(Table6[[#This Row],[Affected WTG]],'Basic Data'!$A:$A,'Basic Data'!$B:$B)</f>
        <v>PWEGPL</v>
      </c>
      <c r="I75" s="39" t="str">
        <f>_xlfn.XLOOKUP(Table6[[#This Row],[Affected WTG]],'Basic Data'!$A:$A,'Basic Data'!$C:$C)</f>
        <v>MSEDCL</v>
      </c>
      <c r="J75" s="363">
        <f>IFERROR(VLOOKUP(Table6[[#This Row],[Affected WTG]],'Basic Data'!$A$3:$E$56,5,0),"")</f>
        <v>2.564102564102564E-2</v>
      </c>
      <c r="K75" s="121">
        <v>812</v>
      </c>
      <c r="L75" s="39" t="str">
        <f>IFERROR(VLOOKUP(Table6[[#This Row],[Error Code]],'Basic Data'!$T:$U,2,0),"")</f>
        <v>Blade Position Meas. Error</v>
      </c>
      <c r="M75" s="364" t="s">
        <v>462</v>
      </c>
      <c r="N75" s="371"/>
      <c r="O75" s="365">
        <v>0.84583333333333333</v>
      </c>
      <c r="P75" s="365">
        <v>0.84583333333333333</v>
      </c>
      <c r="Q75" s="365">
        <v>0.84930555555555554</v>
      </c>
      <c r="R75" s="366">
        <f>IF(Table6[[#This Row],[Work Start TimeStamp]]="","",(Table6[[#This Row],[Work Start TimeStamp]]-Table6[[#This Row],[Fault Start TimeStamp]])*24)</f>
        <v>0</v>
      </c>
      <c r="S75" s="367">
        <f>(Table6[[#This Row],[Fault Clearance time]]-Table6[[#This Row],[Work Start TimeStamp]])*24</f>
        <v>8.3333333333333037E-2</v>
      </c>
      <c r="T75" s="368">
        <f>(Table6[[#This Row],[Fault Clearance time]]-Table6[[#This Row],[Fault Start TimeStamp]])*24</f>
        <v>8.3333333333333037E-2</v>
      </c>
      <c r="U75" s="364" t="s">
        <v>480</v>
      </c>
      <c r="V75" s="369" t="s">
        <v>463</v>
      </c>
      <c r="W75" s="354">
        <f>Table6[[#This Row],[Breakdown Time]]*(1/39)</f>
        <v>2.1367521367521292E-3</v>
      </c>
      <c r="X75" s="352" t="s">
        <v>465</v>
      </c>
      <c r="Y75" s="370" t="s">
        <v>147</v>
      </c>
      <c r="Z75" s="121">
        <v>7996</v>
      </c>
      <c r="AA75" s="123">
        <v>27.763888888888793</v>
      </c>
      <c r="AB75" s="121" t="s">
        <v>478</v>
      </c>
    </row>
    <row r="76" spans="1:28">
      <c r="A76" s="121">
        <f t="shared" si="1"/>
        <v>75</v>
      </c>
      <c r="B76" s="123">
        <f>YEAR(Table6[[#This Row],[Date]])+IF(MONTH(Table6[[#This Row],[Date]])&gt;=4,1,0)</f>
        <v>2025</v>
      </c>
      <c r="C76" s="121">
        <f>YEAR(Table6[[#This Row],[Date]])</f>
        <v>2025</v>
      </c>
      <c r="D76" s="121" t="s">
        <v>490</v>
      </c>
      <c r="E76" s="135">
        <f>Table6[[#This Row],[Date]]-DAY(Table6[[#This Row],[Date]])+1</f>
        <v>45717</v>
      </c>
      <c r="F76" s="134">
        <v>45747</v>
      </c>
      <c r="G76" s="121" t="s">
        <v>147</v>
      </c>
      <c r="H76" s="39" t="str">
        <f>_xlfn.XLOOKUP(Table6[[#This Row],[Affected WTG]],'Basic Data'!$A:$A,'Basic Data'!$B:$B)</f>
        <v>PWEGPL</v>
      </c>
      <c r="I76" s="39" t="str">
        <f>_xlfn.XLOOKUP(Table6[[#This Row],[Affected WTG]],'Basic Data'!$A:$A,'Basic Data'!$C:$C)</f>
        <v>MSEDCL</v>
      </c>
      <c r="J76" s="363">
        <f>IFERROR(VLOOKUP(Table6[[#This Row],[Affected WTG]],'Basic Data'!$A$3:$E$56,5,0),"")</f>
        <v>2.564102564102564E-2</v>
      </c>
      <c r="K76" s="121">
        <v>5200</v>
      </c>
      <c r="L76" s="39" t="str">
        <f>IFERROR(VLOOKUP(Table6[[#This Row],[Error Code]],'Basic Data'!$T:$U,2,0),"")</f>
        <v>Magnetothermic Trigger Of The Line Protection</v>
      </c>
      <c r="M76" s="364" t="s">
        <v>462</v>
      </c>
      <c r="O76" s="365">
        <v>0.74583333333333335</v>
      </c>
      <c r="P76" s="365">
        <v>0.74583333333333335</v>
      </c>
      <c r="Q76" s="365">
        <v>0.74930555555555556</v>
      </c>
      <c r="R76" s="366">
        <f>IF(Table6[[#This Row],[Work Start TimeStamp]]="","",(Table6[[#This Row],[Work Start TimeStamp]]-Table6[[#This Row],[Fault Start TimeStamp]])*24)</f>
        <v>0</v>
      </c>
      <c r="S76" s="367">
        <f>(Table6[[#This Row],[Fault Clearance time]]-Table6[[#This Row],[Work Start TimeStamp]])*24</f>
        <v>8.3333333333333037E-2</v>
      </c>
      <c r="T76" s="368">
        <f>(Table6[[#This Row],[Fault Clearance time]]-Table6[[#This Row],[Fault Start TimeStamp]])*24</f>
        <v>8.3333333333333037E-2</v>
      </c>
      <c r="U76" s="364" t="s">
        <v>480</v>
      </c>
      <c r="V76" s="369" t="s">
        <v>463</v>
      </c>
      <c r="W76" s="354">
        <f>Table6[[#This Row],[Breakdown Time]]*(1/39)</f>
        <v>2.1367521367521292E-3</v>
      </c>
      <c r="X76" s="352" t="s">
        <v>465</v>
      </c>
      <c r="Y76" s="370" t="s">
        <v>146</v>
      </c>
      <c r="Z76" s="121">
        <v>6703</v>
      </c>
      <c r="AA76" s="123">
        <v>23.274305555555475</v>
      </c>
      <c r="AB76" s="121" t="s">
        <v>478</v>
      </c>
    </row>
    <row r="77" spans="1:28">
      <c r="A77" s="121">
        <f t="shared" si="1"/>
        <v>76</v>
      </c>
      <c r="B77" s="123">
        <f>YEAR(Table6[[#This Row],[Date]])+IF(MONTH(Table6[[#This Row],[Date]])&gt;=4,1,0)</f>
        <v>2025</v>
      </c>
      <c r="C77" s="121">
        <f>YEAR(Table6[[#This Row],[Date]])</f>
        <v>2025</v>
      </c>
      <c r="D77" s="121" t="s">
        <v>490</v>
      </c>
      <c r="E77" s="135">
        <f>Table6[[#This Row],[Date]]-DAY(Table6[[#This Row],[Date]])+1</f>
        <v>45717</v>
      </c>
      <c r="F77" s="134">
        <v>45747</v>
      </c>
      <c r="G77" s="121" t="s">
        <v>148</v>
      </c>
      <c r="H77" s="39" t="str">
        <f>_xlfn.XLOOKUP(Table6[[#This Row],[Affected WTG]],'Basic Data'!$A:$A,'Basic Data'!$B:$B)</f>
        <v>PWEGPL</v>
      </c>
      <c r="I77" s="39" t="str">
        <f>_xlfn.XLOOKUP(Table6[[#This Row],[Affected WTG]],'Basic Data'!$A:$A,'Basic Data'!$C:$C)</f>
        <v>MSEDCL</v>
      </c>
      <c r="J77" s="363">
        <f>IFERROR(VLOOKUP(Table6[[#This Row],[Affected WTG]],'Basic Data'!$A$3:$E$56,5,0),"")</f>
        <v>2.564102564102564E-2</v>
      </c>
      <c r="K77" s="121">
        <v>5201</v>
      </c>
      <c r="L77" s="39" t="str">
        <f>IFERROR(VLOOKUP(Table6[[#This Row],[Error Code]],'Basic Data'!$T:$U,2,0),"")</f>
        <v>Magnetothermic Trigger Of The Stator Protection</v>
      </c>
      <c r="M77" s="364" t="s">
        <v>462</v>
      </c>
      <c r="N77" s="371"/>
      <c r="O77" s="365">
        <v>0.80555555555555558</v>
      </c>
      <c r="P77" s="365">
        <v>0.80555555555555558</v>
      </c>
      <c r="Q77" s="365">
        <v>0.99930555555555556</v>
      </c>
      <c r="R77" s="366">
        <f>IF(Table6[[#This Row],[Work Start TimeStamp]]="","",(Table6[[#This Row],[Work Start TimeStamp]]-Table6[[#This Row],[Fault Start TimeStamp]])*24)</f>
        <v>0</v>
      </c>
      <c r="S77" s="367">
        <f>(Table6[[#This Row],[Fault Clearance time]]-Table6[[#This Row],[Work Start TimeStamp]])*24</f>
        <v>4.6499999999999995</v>
      </c>
      <c r="T77" s="368">
        <f>(Table6[[#This Row],[Fault Clearance time]]-Table6[[#This Row],[Fault Start TimeStamp]])*24</f>
        <v>4.6499999999999995</v>
      </c>
      <c r="U77" s="364" t="s">
        <v>500</v>
      </c>
      <c r="V77" s="369" t="s">
        <v>473</v>
      </c>
      <c r="W77" s="354">
        <f>Table6[[#This Row],[Breakdown Time]]*(1/39)</f>
        <v>0.11923076923076921</v>
      </c>
      <c r="X77" s="352" t="s">
        <v>465</v>
      </c>
      <c r="Y77" s="370" t="s">
        <v>149</v>
      </c>
      <c r="Z77" s="121">
        <v>4792</v>
      </c>
      <c r="AA77" s="123">
        <v>928.44999999999982</v>
      </c>
      <c r="AB77" s="121" t="s">
        <v>478</v>
      </c>
    </row>
    <row r="78" spans="1:28">
      <c r="A78" s="121">
        <f t="shared" si="1"/>
        <v>77</v>
      </c>
      <c r="B78" s="123">
        <f>YEAR(Table6[[#This Row],[Date]])+IF(MONTH(Table6[[#This Row],[Date]])&gt;=4,1,0)</f>
        <v>2025</v>
      </c>
      <c r="C78" s="121">
        <f>YEAR(Table6[[#This Row],[Date]])</f>
        <v>2025</v>
      </c>
      <c r="D78" s="121" t="s">
        <v>490</v>
      </c>
      <c r="E78" s="135">
        <f>Table6[[#This Row],[Date]]-DAY(Table6[[#This Row],[Date]])+1</f>
        <v>45717</v>
      </c>
      <c r="F78" s="134">
        <v>45747</v>
      </c>
      <c r="G78" s="121" t="s">
        <v>149</v>
      </c>
      <c r="H78" s="39" t="str">
        <f>_xlfn.XLOOKUP(Table6[[#This Row],[Affected WTG]],'Basic Data'!$A:$A,'Basic Data'!$B:$B)</f>
        <v>PWEGPL</v>
      </c>
      <c r="I78" s="39" t="str">
        <f>_xlfn.XLOOKUP(Table6[[#This Row],[Affected WTG]],'Basic Data'!$A:$A,'Basic Data'!$C:$C)</f>
        <v>MSEDCL</v>
      </c>
      <c r="J78" s="363">
        <f>IFERROR(VLOOKUP(Table6[[#This Row],[Affected WTG]],'Basic Data'!$A$3:$E$56,5,0),"")</f>
        <v>2.564102564102564E-2</v>
      </c>
      <c r="K78" s="121">
        <v>812</v>
      </c>
      <c r="L78" s="39" t="str">
        <f>IFERROR(VLOOKUP(Table6[[#This Row],[Error Code]],'Basic Data'!$T:$U,2,0),"")</f>
        <v>Blade Position Meas. Error</v>
      </c>
      <c r="M78" s="364" t="s">
        <v>462</v>
      </c>
      <c r="O78" s="365">
        <v>0.35694444444444445</v>
      </c>
      <c r="P78" s="365">
        <v>0.35694444444444445</v>
      </c>
      <c r="Q78" s="365">
        <v>0.36041666666666666</v>
      </c>
      <c r="R78" s="366">
        <f>IF(Table6[[#This Row],[Work Start TimeStamp]]="","",(Table6[[#This Row],[Work Start TimeStamp]]-Table6[[#This Row],[Fault Start TimeStamp]])*24)</f>
        <v>0</v>
      </c>
      <c r="S78" s="367">
        <f>(Table6[[#This Row],[Fault Clearance time]]-Table6[[#This Row],[Work Start TimeStamp]])*24</f>
        <v>8.3333333333333037E-2</v>
      </c>
      <c r="T78" s="368">
        <f>(Table6[[#This Row],[Fault Clearance time]]-Table6[[#This Row],[Fault Start TimeStamp]])*24</f>
        <v>8.3333333333333037E-2</v>
      </c>
      <c r="U78" s="364" t="s">
        <v>480</v>
      </c>
      <c r="V78" s="369" t="s">
        <v>463</v>
      </c>
      <c r="W78" s="354">
        <f>Table6[[#This Row],[Breakdown Time]]*(1/39)</f>
        <v>2.1367521367521292E-3</v>
      </c>
      <c r="X78" s="352" t="s">
        <v>465</v>
      </c>
      <c r="Y78" s="370" t="s">
        <v>148</v>
      </c>
      <c r="Z78" s="121">
        <v>4764</v>
      </c>
      <c r="AA78" s="123">
        <v>16.541666666666607</v>
      </c>
      <c r="AB78" s="121" t="s">
        <v>478</v>
      </c>
    </row>
    <row r="79" spans="1:28">
      <c r="A79" s="121">
        <f t="shared" si="1"/>
        <v>78</v>
      </c>
      <c r="B79" s="123">
        <f>YEAR(Table6[[#This Row],[Date]])+IF(MONTH(Table6[[#This Row],[Date]])&gt;=4,1,0)</f>
        <v>2025</v>
      </c>
      <c r="C79" s="121">
        <f>YEAR(Table6[[#This Row],[Date]])</f>
        <v>2025</v>
      </c>
      <c r="D79" s="121" t="s">
        <v>490</v>
      </c>
      <c r="E79" s="135">
        <f>Table6[[#This Row],[Date]]-DAY(Table6[[#This Row],[Date]])+1</f>
        <v>45717</v>
      </c>
      <c r="F79" s="134">
        <v>45747</v>
      </c>
      <c r="G79" s="121" t="s">
        <v>149</v>
      </c>
      <c r="H79" s="39" t="str">
        <f>_xlfn.XLOOKUP(Table6[[#This Row],[Affected WTG]],'Basic Data'!$A:$A,'Basic Data'!$B:$B)</f>
        <v>PWEGPL</v>
      </c>
      <c r="I79" s="39" t="str">
        <f>_xlfn.XLOOKUP(Table6[[#This Row],[Affected WTG]],'Basic Data'!$A:$A,'Basic Data'!$C:$C)</f>
        <v>MSEDCL</v>
      </c>
      <c r="J79" s="363">
        <f>IFERROR(VLOOKUP(Table6[[#This Row],[Affected WTG]],'Basic Data'!$A$3:$E$56,5,0),"")</f>
        <v>2.564102564102564E-2</v>
      </c>
      <c r="K79" s="121">
        <v>426</v>
      </c>
      <c r="L79" s="39" t="str">
        <f>IFERROR(VLOOKUP(Table6[[#This Row],[Error Code]],'Basic Data'!$T:$U,2,0),"")</f>
        <v>Rotor Speed Reading Failure</v>
      </c>
      <c r="M79" s="364" t="s">
        <v>462</v>
      </c>
      <c r="N79" s="371"/>
      <c r="O79" s="365">
        <v>0.38958333333333334</v>
      </c>
      <c r="P79" s="365">
        <v>0.38958333333333334</v>
      </c>
      <c r="Q79" s="365">
        <v>0.39305555555555555</v>
      </c>
      <c r="R79" s="366">
        <f>IF(Table6[[#This Row],[Work Start TimeStamp]]="","",(Table6[[#This Row],[Work Start TimeStamp]]-Table6[[#This Row],[Fault Start TimeStamp]])*24)</f>
        <v>0</v>
      </c>
      <c r="S79" s="367">
        <f>(Table6[[#This Row],[Fault Clearance time]]-Table6[[#This Row],[Work Start TimeStamp]])*24</f>
        <v>8.3333333333333037E-2</v>
      </c>
      <c r="T79" s="368">
        <f>(Table6[[#This Row],[Fault Clearance time]]-Table6[[#This Row],[Fault Start TimeStamp]])*24</f>
        <v>8.3333333333333037E-2</v>
      </c>
      <c r="U79" s="364" t="s">
        <v>480</v>
      </c>
      <c r="V79" s="369" t="s">
        <v>463</v>
      </c>
      <c r="W79" s="354">
        <f>Table6[[#This Row],[Breakdown Time]]*(1/39)</f>
        <v>2.1367521367521292E-3</v>
      </c>
      <c r="X79" s="352" t="s">
        <v>465</v>
      </c>
      <c r="Y79" s="370" t="s">
        <v>148</v>
      </c>
      <c r="Z79" s="121">
        <v>4764</v>
      </c>
      <c r="AA79" s="123">
        <v>16.541666666666607</v>
      </c>
      <c r="AB79" s="121" t="s">
        <v>478</v>
      </c>
    </row>
    <row r="80" spans="1:28">
      <c r="A80" s="121">
        <f t="shared" si="1"/>
        <v>79</v>
      </c>
      <c r="B80" s="123">
        <f>YEAR(Table6[[#This Row],[Date]])+IF(MONTH(Table6[[#This Row],[Date]])&gt;=4,1,0)</f>
        <v>2025</v>
      </c>
      <c r="C80" s="121">
        <f>YEAR(Table6[[#This Row],[Date]])</f>
        <v>2025</v>
      </c>
      <c r="D80" s="121" t="s">
        <v>490</v>
      </c>
      <c r="E80" s="135">
        <f>Table6[[#This Row],[Date]]-DAY(Table6[[#This Row],[Date]])+1</f>
        <v>45717</v>
      </c>
      <c r="F80" s="134">
        <v>45747</v>
      </c>
      <c r="G80" s="121" t="s">
        <v>149</v>
      </c>
      <c r="H80" s="39" t="str">
        <f>_xlfn.XLOOKUP(Table6[[#This Row],[Affected WTG]],'Basic Data'!$A:$A,'Basic Data'!$B:$B)</f>
        <v>PWEGPL</v>
      </c>
      <c r="I80" s="39" t="str">
        <f>_xlfn.XLOOKUP(Table6[[#This Row],[Affected WTG]],'Basic Data'!$A:$A,'Basic Data'!$C:$C)</f>
        <v>MSEDCL</v>
      </c>
      <c r="J80" s="363">
        <f>IFERROR(VLOOKUP(Table6[[#This Row],[Affected WTG]],'Basic Data'!$A$3:$E$56,5,0),"")</f>
        <v>2.564102564102564E-2</v>
      </c>
      <c r="K80" s="121">
        <v>804</v>
      </c>
      <c r="L80" s="39" t="str">
        <f>IFERROR(VLOOKUP(Table6[[#This Row],[Error Code]],'Basic Data'!$T:$U,2,0),"")</f>
        <v>Difference Between 2 Blades Too High</v>
      </c>
      <c r="M80" s="364" t="s">
        <v>462</v>
      </c>
      <c r="O80" s="365">
        <v>0.4465277777777778</v>
      </c>
      <c r="P80" s="365">
        <v>0.45</v>
      </c>
      <c r="Q80" s="365">
        <v>0.45</v>
      </c>
      <c r="R80" s="366">
        <f>IF(Table6[[#This Row],[Work Start TimeStamp]]="","",(Table6[[#This Row],[Work Start TimeStamp]]-Table6[[#This Row],[Fault Start TimeStamp]])*24)</f>
        <v>8.3333333333333037E-2</v>
      </c>
      <c r="S80" s="367">
        <f>(Table6[[#This Row],[Fault Clearance time]]-Table6[[#This Row],[Work Start TimeStamp]])*24</f>
        <v>0</v>
      </c>
      <c r="T80" s="368">
        <f>(Table6[[#This Row],[Fault Clearance time]]-Table6[[#This Row],[Fault Start TimeStamp]])*24</f>
        <v>8.3333333333333037E-2</v>
      </c>
      <c r="U80" s="364" t="s">
        <v>480</v>
      </c>
      <c r="V80" s="369" t="s">
        <v>463</v>
      </c>
      <c r="W80" s="354">
        <f>Table6[[#This Row],[Breakdown Time]]*(1/39)</f>
        <v>2.1367521367521292E-3</v>
      </c>
      <c r="X80" s="352" t="s">
        <v>465</v>
      </c>
      <c r="Y80" s="370" t="s">
        <v>148</v>
      </c>
      <c r="Z80" s="121">
        <v>4764</v>
      </c>
      <c r="AA80" s="123">
        <v>16.541666666666607</v>
      </c>
      <c r="AB80" s="121" t="s">
        <v>478</v>
      </c>
    </row>
    <row r="81" spans="1:28">
      <c r="A81" s="121">
        <f t="shared" si="1"/>
        <v>80</v>
      </c>
      <c r="B81" s="123">
        <f>YEAR(Table6[[#This Row],[Date]])+IF(MONTH(Table6[[#This Row],[Date]])&gt;=4,1,0)</f>
        <v>2025</v>
      </c>
      <c r="C81" s="121">
        <f>YEAR(Table6[[#This Row],[Date]])</f>
        <v>2025</v>
      </c>
      <c r="D81" s="121" t="s">
        <v>490</v>
      </c>
      <c r="E81" s="135">
        <f>Table6[[#This Row],[Date]]-DAY(Table6[[#This Row],[Date]])+1</f>
        <v>45717</v>
      </c>
      <c r="F81" s="134">
        <v>45747</v>
      </c>
      <c r="G81" s="121" t="s">
        <v>149</v>
      </c>
      <c r="H81" s="39" t="str">
        <f>_xlfn.XLOOKUP(Table6[[#This Row],[Affected WTG]],'Basic Data'!$A:$A,'Basic Data'!$B:$B)</f>
        <v>PWEGPL</v>
      </c>
      <c r="I81" s="39" t="str">
        <f>_xlfn.XLOOKUP(Table6[[#This Row],[Affected WTG]],'Basic Data'!$A:$A,'Basic Data'!$C:$C)</f>
        <v>MSEDCL</v>
      </c>
      <c r="J81" s="363">
        <f>IFERROR(VLOOKUP(Table6[[#This Row],[Affected WTG]],'Basic Data'!$A$3:$E$56,5,0),"")</f>
        <v>2.564102564102564E-2</v>
      </c>
      <c r="K81" s="121">
        <v>812</v>
      </c>
      <c r="L81" s="39" t="str">
        <f>IFERROR(VLOOKUP(Table6[[#This Row],[Error Code]],'Basic Data'!$T:$U,2,0),"")</f>
        <v>Blade Position Meas. Error</v>
      </c>
      <c r="M81" s="364" t="s">
        <v>462</v>
      </c>
      <c r="N81" s="371"/>
      <c r="O81" s="365">
        <v>0.48055555555555557</v>
      </c>
      <c r="P81" s="365">
        <v>0.48055555555555557</v>
      </c>
      <c r="Q81" s="365">
        <v>0.48402777777777778</v>
      </c>
      <c r="R81" s="366">
        <f>IF(Table6[[#This Row],[Work Start TimeStamp]]="","",(Table6[[#This Row],[Work Start TimeStamp]]-Table6[[#This Row],[Fault Start TimeStamp]])*24)</f>
        <v>0</v>
      </c>
      <c r="S81" s="367">
        <f>(Table6[[#This Row],[Fault Clearance time]]-Table6[[#This Row],[Work Start TimeStamp]])*24</f>
        <v>8.3333333333333037E-2</v>
      </c>
      <c r="T81" s="368">
        <f>(Table6[[#This Row],[Fault Clearance time]]-Table6[[#This Row],[Fault Start TimeStamp]])*24</f>
        <v>8.3333333333333037E-2</v>
      </c>
      <c r="U81" s="364" t="s">
        <v>480</v>
      </c>
      <c r="V81" s="369" t="s">
        <v>463</v>
      </c>
      <c r="W81" s="354">
        <f>Table6[[#This Row],[Breakdown Time]]*(1/39)</f>
        <v>2.1367521367521292E-3</v>
      </c>
      <c r="X81" s="352" t="s">
        <v>465</v>
      </c>
      <c r="Y81" s="370" t="s">
        <v>148</v>
      </c>
      <c r="Z81" s="121">
        <v>4764</v>
      </c>
      <c r="AA81" s="123">
        <v>16.541666666666607</v>
      </c>
      <c r="AB81" s="121" t="s">
        <v>478</v>
      </c>
    </row>
    <row r="82" spans="1:28">
      <c r="A82" s="121">
        <f t="shared" si="1"/>
        <v>81</v>
      </c>
      <c r="B82" s="123">
        <f>YEAR(Table6[[#This Row],[Date]])+IF(MONTH(Table6[[#This Row],[Date]])&gt;=4,1,0)</f>
        <v>2025</v>
      </c>
      <c r="C82" s="121">
        <f>YEAR(Table6[[#This Row],[Date]])</f>
        <v>2025</v>
      </c>
      <c r="D82" s="121" t="s">
        <v>490</v>
      </c>
      <c r="E82" s="135">
        <f>Table6[[#This Row],[Date]]-DAY(Table6[[#This Row],[Date]])+1</f>
        <v>45717</v>
      </c>
      <c r="F82" s="134">
        <v>45747</v>
      </c>
      <c r="G82" s="121" t="s">
        <v>149</v>
      </c>
      <c r="H82" s="39" t="str">
        <f>_xlfn.XLOOKUP(Table6[[#This Row],[Affected WTG]],'Basic Data'!$A:$A,'Basic Data'!$B:$B)</f>
        <v>PWEGPL</v>
      </c>
      <c r="I82" s="39" t="str">
        <f>_xlfn.XLOOKUP(Table6[[#This Row],[Affected WTG]],'Basic Data'!$A:$A,'Basic Data'!$C:$C)</f>
        <v>MSEDCL</v>
      </c>
      <c r="J82" s="363">
        <f>IFERROR(VLOOKUP(Table6[[#This Row],[Affected WTG]],'Basic Data'!$A$3:$E$56,5,0),"")</f>
        <v>2.564102564102564E-2</v>
      </c>
      <c r="K82" s="121">
        <v>812</v>
      </c>
      <c r="L82" s="39" t="str">
        <f>IFERROR(VLOOKUP(Table6[[#This Row],[Error Code]],'Basic Data'!$T:$U,2,0),"")</f>
        <v>Blade Position Meas. Error</v>
      </c>
      <c r="M82" s="364" t="s">
        <v>462</v>
      </c>
      <c r="O82" s="365">
        <v>0.51041666666666663</v>
      </c>
      <c r="P82" s="365">
        <v>0.51041666666666663</v>
      </c>
      <c r="Q82" s="365">
        <v>0.54722222222222228</v>
      </c>
      <c r="R82" s="366">
        <f>IF(Table6[[#This Row],[Work Start TimeStamp]]="","",(Table6[[#This Row],[Work Start TimeStamp]]-Table6[[#This Row],[Fault Start TimeStamp]])*24)</f>
        <v>0</v>
      </c>
      <c r="S82" s="367">
        <f>(Table6[[#This Row],[Fault Clearance time]]-Table6[[#This Row],[Work Start TimeStamp]])*24</f>
        <v>0.88333333333333552</v>
      </c>
      <c r="T82" s="368">
        <f>(Table6[[#This Row],[Fault Clearance time]]-Table6[[#This Row],[Fault Start TimeStamp]])*24</f>
        <v>0.88333333333333552</v>
      </c>
      <c r="U82" s="364" t="s">
        <v>493</v>
      </c>
      <c r="V82" s="369" t="s">
        <v>463</v>
      </c>
      <c r="W82" s="354">
        <f>Table6[[#This Row],[Breakdown Time]]*(1/39)</f>
        <v>2.2649572649572704E-2</v>
      </c>
      <c r="X82" s="352" t="s">
        <v>465</v>
      </c>
      <c r="Y82" s="370" t="s">
        <v>148</v>
      </c>
      <c r="Z82" s="121">
        <v>4764</v>
      </c>
      <c r="AA82" s="123">
        <v>175.34166666666709</v>
      </c>
      <c r="AB82" s="121" t="s">
        <v>478</v>
      </c>
    </row>
    <row r="83" spans="1:28">
      <c r="A83" s="121">
        <f t="shared" si="1"/>
        <v>82</v>
      </c>
      <c r="B83" s="123">
        <f>YEAR(Table6[[#This Row],[Date]])+IF(MONTH(Table6[[#This Row],[Date]])&gt;=4,1,0)</f>
        <v>2025</v>
      </c>
      <c r="C83" s="121">
        <f>YEAR(Table6[[#This Row],[Date]])</f>
        <v>2025</v>
      </c>
      <c r="D83" s="121" t="s">
        <v>490</v>
      </c>
      <c r="E83" s="135">
        <f>Table6[[#This Row],[Date]]-DAY(Table6[[#This Row],[Date]])+1</f>
        <v>45717</v>
      </c>
      <c r="F83" s="134">
        <v>45747</v>
      </c>
      <c r="G83" s="121" t="s">
        <v>149</v>
      </c>
      <c r="H83" s="39" t="str">
        <f>_xlfn.XLOOKUP(Table6[[#This Row],[Affected WTG]],'Basic Data'!$A:$A,'Basic Data'!$B:$B)</f>
        <v>PWEGPL</v>
      </c>
      <c r="I83" s="39" t="str">
        <f>_xlfn.XLOOKUP(Table6[[#This Row],[Affected WTG]],'Basic Data'!$A:$A,'Basic Data'!$C:$C)</f>
        <v>MSEDCL</v>
      </c>
      <c r="J83" s="363">
        <f>IFERROR(VLOOKUP(Table6[[#This Row],[Affected WTG]],'Basic Data'!$A$3:$E$56,5,0),"")</f>
        <v>2.564102564102564E-2</v>
      </c>
      <c r="K83" s="121">
        <v>804</v>
      </c>
      <c r="L83" s="39" t="str">
        <f>IFERROR(VLOOKUP(Table6[[#This Row],[Error Code]],'Basic Data'!$T:$U,2,0),"")</f>
        <v>Difference Between 2 Blades Too High</v>
      </c>
      <c r="M83" s="364" t="s">
        <v>462</v>
      </c>
      <c r="O83" s="365">
        <v>0.5708333333333333</v>
      </c>
      <c r="P83" s="365">
        <v>0.5708333333333333</v>
      </c>
      <c r="Q83" s="365">
        <v>0.59097222222222223</v>
      </c>
      <c r="R83" s="366">
        <f>IF(Table6[[#This Row],[Work Start TimeStamp]]="","",(Table6[[#This Row],[Work Start TimeStamp]]-Table6[[#This Row],[Fault Start TimeStamp]])*24)</f>
        <v>0</v>
      </c>
      <c r="S83" s="367">
        <f>(Table6[[#This Row],[Fault Clearance time]]-Table6[[#This Row],[Work Start TimeStamp]])*24</f>
        <v>0.48333333333333428</v>
      </c>
      <c r="T83" s="368">
        <f>(Table6[[#This Row],[Fault Clearance time]]-Table6[[#This Row],[Fault Start TimeStamp]])*24</f>
        <v>0.48333333333333428</v>
      </c>
      <c r="U83" s="372" t="s">
        <v>493</v>
      </c>
      <c r="V83" s="369" t="s">
        <v>463</v>
      </c>
      <c r="W83" s="354">
        <f>Table6[[#This Row],[Breakdown Time]]*(1/39)</f>
        <v>1.2393162393162417E-2</v>
      </c>
      <c r="X83" s="352" t="s">
        <v>465</v>
      </c>
      <c r="Y83" s="370" t="s">
        <v>148</v>
      </c>
      <c r="Z83" s="121">
        <v>4764</v>
      </c>
      <c r="AA83" s="123">
        <v>95.941666666666862</v>
      </c>
      <c r="AB83" s="121" t="s">
        <v>478</v>
      </c>
    </row>
    <row r="84" spans="1:28">
      <c r="A84" s="121">
        <f t="shared" si="1"/>
        <v>83</v>
      </c>
      <c r="B84" s="123">
        <f>YEAR(Table6[[#This Row],[Date]])+IF(MONTH(Table6[[#This Row],[Date]])&gt;=4,1,0)</f>
        <v>2025</v>
      </c>
      <c r="C84" s="121">
        <f>YEAR(Table6[[#This Row],[Date]])</f>
        <v>2025</v>
      </c>
      <c r="D84" s="121" t="s">
        <v>490</v>
      </c>
      <c r="E84" s="135">
        <f>Table6[[#This Row],[Date]]-DAY(Table6[[#This Row],[Date]])+1</f>
        <v>45717</v>
      </c>
      <c r="F84" s="134">
        <v>45747</v>
      </c>
      <c r="G84" s="121" t="s">
        <v>149</v>
      </c>
      <c r="H84" s="39" t="str">
        <f>_xlfn.XLOOKUP(Table6[[#This Row],[Affected WTG]],'Basic Data'!$A:$A,'Basic Data'!$B:$B)</f>
        <v>PWEGPL</v>
      </c>
      <c r="I84" s="39" t="str">
        <f>_xlfn.XLOOKUP(Table6[[#This Row],[Affected WTG]],'Basic Data'!$A:$A,'Basic Data'!$C:$C)</f>
        <v>MSEDCL</v>
      </c>
      <c r="J84" s="363">
        <f>IFERROR(VLOOKUP(Table6[[#This Row],[Affected WTG]],'Basic Data'!$A$3:$E$56,5,0),"")</f>
        <v>2.564102564102564E-2</v>
      </c>
      <c r="K84" s="121">
        <v>5201</v>
      </c>
      <c r="L84" s="39" t="str">
        <f>IFERROR(VLOOKUP(Table6[[#This Row],[Error Code]],'Basic Data'!$T:$U,2,0),"")</f>
        <v>Magnetothermic Trigger Of The Stator Protection</v>
      </c>
      <c r="M84" s="364" t="s">
        <v>462</v>
      </c>
      <c r="O84" s="365">
        <v>0.80555555555555558</v>
      </c>
      <c r="P84" s="365">
        <v>0.80555555555555558</v>
      </c>
      <c r="Q84" s="365">
        <v>0.99930555555555556</v>
      </c>
      <c r="R84" s="366">
        <f>IF(Table6[[#This Row],[Work Start TimeStamp]]="","",(Table6[[#This Row],[Work Start TimeStamp]]-Table6[[#This Row],[Fault Start TimeStamp]])*24)</f>
        <v>0</v>
      </c>
      <c r="S84" s="367">
        <f>(Table6[[#This Row],[Fault Clearance time]]-Table6[[#This Row],[Work Start TimeStamp]])*24</f>
        <v>4.6499999999999995</v>
      </c>
      <c r="T84" s="368">
        <f>(Table6[[#This Row],[Fault Clearance time]]-Table6[[#This Row],[Fault Start TimeStamp]])*24</f>
        <v>4.6499999999999995</v>
      </c>
      <c r="U84" s="364" t="s">
        <v>500</v>
      </c>
      <c r="V84" s="369" t="s">
        <v>473</v>
      </c>
      <c r="W84" s="354">
        <f>Table6[[#This Row],[Breakdown Time]]*(1/39)</f>
        <v>0.11923076923076921</v>
      </c>
      <c r="X84" s="352" t="s">
        <v>465</v>
      </c>
      <c r="Y84" s="370" t="s">
        <v>148</v>
      </c>
      <c r="Z84" s="121">
        <v>4764</v>
      </c>
      <c r="AA84" s="123">
        <v>923.02499999999986</v>
      </c>
      <c r="AB84" s="121" t="s">
        <v>478</v>
      </c>
    </row>
    <row r="85" spans="1:28">
      <c r="A85" s="121">
        <f t="shared" si="1"/>
        <v>84</v>
      </c>
      <c r="B85" s="123">
        <f>YEAR(Table6[[#This Row],[Date]])+IF(MONTH(Table6[[#This Row],[Date]])&gt;=4,1,0)</f>
        <v>2025</v>
      </c>
      <c r="C85" s="121">
        <f>YEAR(Table6[[#This Row],[Date]])</f>
        <v>2025</v>
      </c>
      <c r="D85" s="121" t="s">
        <v>490</v>
      </c>
      <c r="E85" s="135">
        <f>Table6[[#This Row],[Date]]-DAY(Table6[[#This Row],[Date]])+1</f>
        <v>45717</v>
      </c>
      <c r="F85" s="134">
        <v>45747</v>
      </c>
      <c r="G85" s="121" t="s">
        <v>150</v>
      </c>
      <c r="H85" s="39" t="str">
        <f>_xlfn.XLOOKUP(Table6[[#This Row],[Affected WTG]],'Basic Data'!$A:$A,'Basic Data'!$B:$B)</f>
        <v>PWEGPL</v>
      </c>
      <c r="I85" s="39" t="str">
        <f>_xlfn.XLOOKUP(Table6[[#This Row],[Affected WTG]],'Basic Data'!$A:$A,'Basic Data'!$C:$C)</f>
        <v>MSEDCL</v>
      </c>
      <c r="J85" s="363">
        <f>IFERROR(VLOOKUP(Table6[[#This Row],[Affected WTG]],'Basic Data'!$A$3:$E$56,5,0),"")</f>
        <v>2.564102564102564E-2</v>
      </c>
      <c r="K85" s="121">
        <v>205</v>
      </c>
      <c r="L85" s="39" t="str">
        <f>IFERROR(VLOOKUP(Table6[[#This Row],[Error Code]],'Basic Data'!$T:$U,2,0),"")</f>
        <v>Low Level Hydraulic Group Refrigeration Oil</v>
      </c>
      <c r="M85" s="364" t="s">
        <v>462</v>
      </c>
      <c r="O85" s="365">
        <v>0.3576388888888889</v>
      </c>
      <c r="P85" s="365">
        <v>0.59027777777777779</v>
      </c>
      <c r="Q85" s="365">
        <v>0.79652777777777772</v>
      </c>
      <c r="R85" s="366">
        <f>IF(Table6[[#This Row],[Work Start TimeStamp]]="","",(Table6[[#This Row],[Work Start TimeStamp]]-Table6[[#This Row],[Fault Start TimeStamp]])*24)</f>
        <v>5.5833333333333339</v>
      </c>
      <c r="S85" s="367">
        <f>(Table6[[#This Row],[Fault Clearance time]]-Table6[[#This Row],[Work Start TimeStamp]])*24</f>
        <v>4.9499999999999984</v>
      </c>
      <c r="T85" s="368">
        <f>(Table6[[#This Row],[Fault Clearance time]]-Table6[[#This Row],[Fault Start TimeStamp]])*24</f>
        <v>10.533333333333331</v>
      </c>
      <c r="U85" s="364" t="s">
        <v>512</v>
      </c>
      <c r="V85" s="369" t="s">
        <v>463</v>
      </c>
      <c r="W85" s="354">
        <f>Table6[[#This Row],[Breakdown Time]]*(1/39)</f>
        <v>0.27008547008547001</v>
      </c>
      <c r="X85" s="352" t="s">
        <v>465</v>
      </c>
      <c r="Y85" s="370" t="s">
        <v>149</v>
      </c>
      <c r="Z85" s="121">
        <v>4792</v>
      </c>
      <c r="AA85" s="123">
        <v>2103.1555555555551</v>
      </c>
      <c r="AB85" s="121" t="s">
        <v>478</v>
      </c>
    </row>
    <row r="86" spans="1:28">
      <c r="A86" s="121">
        <f t="shared" si="1"/>
        <v>85</v>
      </c>
      <c r="B86" s="123">
        <f>YEAR(Table6[[#This Row],[Date]])+IF(MONTH(Table6[[#This Row],[Date]])&gt;=4,1,0)</f>
        <v>2025</v>
      </c>
      <c r="C86" s="121">
        <f>YEAR(Table6[[#This Row],[Date]])</f>
        <v>2025</v>
      </c>
      <c r="D86" s="121" t="s">
        <v>490</v>
      </c>
      <c r="E86" s="135">
        <f>Table6[[#This Row],[Date]]-DAY(Table6[[#This Row],[Date]])+1</f>
        <v>45717</v>
      </c>
      <c r="F86" s="134">
        <v>45747</v>
      </c>
      <c r="G86" s="121" t="s">
        <v>151</v>
      </c>
      <c r="H86" s="39" t="str">
        <f>_xlfn.XLOOKUP(Table6[[#This Row],[Affected WTG]],'Basic Data'!$A:$A,'Basic Data'!$B:$B)</f>
        <v>PWEGPL</v>
      </c>
      <c r="I86" s="39" t="str">
        <f>_xlfn.XLOOKUP(Table6[[#This Row],[Affected WTG]],'Basic Data'!$A:$A,'Basic Data'!$C:$C)</f>
        <v>MSEDCL</v>
      </c>
      <c r="J86" s="363">
        <f>IFERROR(VLOOKUP(Table6[[#This Row],[Affected WTG]],'Basic Data'!$A$3:$E$56,5,0),"")</f>
        <v>2.564102564102564E-2</v>
      </c>
      <c r="K86" s="121">
        <v>222</v>
      </c>
      <c r="L86" s="39" t="str">
        <f>IFERROR(VLOOKUP(Table6[[#This Row],[Error Code]],'Basic Data'!$T:$U,2,0),"")</f>
        <v>Very Low Pressure On Hydraulic Unit</v>
      </c>
      <c r="M86" s="364" t="s">
        <v>462</v>
      </c>
      <c r="O86" s="365">
        <v>0.80555555555555558</v>
      </c>
      <c r="P86" s="365">
        <v>0.80555555555555558</v>
      </c>
      <c r="Q86" s="365">
        <v>0.82777777777777772</v>
      </c>
      <c r="R86" s="366">
        <f>IF(Table6[[#This Row],[Work Start TimeStamp]]="","",(Table6[[#This Row],[Work Start TimeStamp]]-Table6[[#This Row],[Fault Start TimeStamp]])*24)</f>
        <v>0</v>
      </c>
      <c r="S86" s="367">
        <f>(Table6[[#This Row],[Fault Clearance time]]-Table6[[#This Row],[Work Start TimeStamp]])*24</f>
        <v>0.53333333333333144</v>
      </c>
      <c r="T86" s="368">
        <f>(Table6[[#This Row],[Fault Clearance time]]-Table6[[#This Row],[Fault Start TimeStamp]])*24</f>
        <v>0.53333333333333144</v>
      </c>
      <c r="U86" s="364" t="s">
        <v>493</v>
      </c>
      <c r="V86" s="369" t="s">
        <v>463</v>
      </c>
      <c r="W86" s="354">
        <f>Table6[[#This Row],[Breakdown Time]]*(1/39)</f>
        <v>1.3675213675213627E-2</v>
      </c>
      <c r="X86" s="352" t="s">
        <v>465</v>
      </c>
      <c r="Y86" s="370" t="s">
        <v>152</v>
      </c>
      <c r="Z86" s="121">
        <v>7552</v>
      </c>
      <c r="AA86" s="123">
        <v>167.82222222222163</v>
      </c>
      <c r="AB86" s="121" t="s">
        <v>478</v>
      </c>
    </row>
    <row r="87" spans="1:28">
      <c r="A87" s="121">
        <f t="shared" si="1"/>
        <v>86</v>
      </c>
      <c r="B87" s="123">
        <f>YEAR(Table6[[#This Row],[Date]])+IF(MONTH(Table6[[#This Row],[Date]])&gt;=4,1,0)</f>
        <v>2025</v>
      </c>
      <c r="C87" s="121">
        <f>YEAR(Table6[[#This Row],[Date]])</f>
        <v>2025</v>
      </c>
      <c r="D87" s="121" t="s">
        <v>490</v>
      </c>
      <c r="E87" s="135">
        <f>Table6[[#This Row],[Date]]-DAY(Table6[[#This Row],[Date]])+1</f>
        <v>45717</v>
      </c>
      <c r="F87" s="134">
        <v>45747</v>
      </c>
      <c r="G87" s="121" t="s">
        <v>152</v>
      </c>
      <c r="H87" s="39" t="str">
        <f>_xlfn.XLOOKUP(Table6[[#This Row],[Affected WTG]],'Basic Data'!$A:$A,'Basic Data'!$B:$B)</f>
        <v>PWEGPL</v>
      </c>
      <c r="I87" s="39" t="str">
        <f>_xlfn.XLOOKUP(Table6[[#This Row],[Affected WTG]],'Basic Data'!$A:$A,'Basic Data'!$C:$C)</f>
        <v>MSEDCL</v>
      </c>
      <c r="J87" s="363">
        <f>IFERROR(VLOOKUP(Table6[[#This Row],[Affected WTG]],'Basic Data'!$A$3:$E$56,5,0),"")</f>
        <v>2.564102564102564E-2</v>
      </c>
      <c r="K87" s="121">
        <v>222</v>
      </c>
      <c r="L87" s="39" t="str">
        <f>IFERROR(VLOOKUP(Table6[[#This Row],[Error Code]],'Basic Data'!$T:$U,2,0),"")</f>
        <v>Very Low Pressure On Hydraulic Unit</v>
      </c>
      <c r="M87" s="364" t="s">
        <v>462</v>
      </c>
      <c r="O87" s="365">
        <v>0.80555555555555558</v>
      </c>
      <c r="P87" s="365">
        <v>0.80555555555555558</v>
      </c>
      <c r="Q87" s="365">
        <v>0.82777777777777772</v>
      </c>
      <c r="R87" s="366">
        <f>IF(Table6[[#This Row],[Work Start TimeStamp]]="","",(Table6[[#This Row],[Work Start TimeStamp]]-Table6[[#This Row],[Fault Start TimeStamp]])*24)</f>
        <v>0</v>
      </c>
      <c r="S87" s="367">
        <f>(Table6[[#This Row],[Fault Clearance time]]-Table6[[#This Row],[Work Start TimeStamp]])*24</f>
        <v>0.53333333333333144</v>
      </c>
      <c r="T87" s="368">
        <f>(Table6[[#This Row],[Fault Clearance time]]-Table6[[#This Row],[Fault Start TimeStamp]])*24</f>
        <v>0.53333333333333144</v>
      </c>
      <c r="U87" s="364" t="s">
        <v>493</v>
      </c>
      <c r="V87" s="369" t="s">
        <v>463</v>
      </c>
      <c r="W87" s="354">
        <f>Table6[[#This Row],[Breakdown Time]]*(1/39)</f>
        <v>1.3675213675213627E-2</v>
      </c>
      <c r="X87" s="352" t="s">
        <v>465</v>
      </c>
      <c r="Y87" s="370" t="s">
        <v>151</v>
      </c>
      <c r="Z87" s="121">
        <v>6680</v>
      </c>
      <c r="AA87" s="123">
        <v>148.44444444444392</v>
      </c>
      <c r="AB87" s="121" t="s">
        <v>478</v>
      </c>
    </row>
    <row r="88" spans="1:28">
      <c r="A88" s="121">
        <f t="shared" si="1"/>
        <v>87</v>
      </c>
      <c r="B88" s="123">
        <f>YEAR(Table6[[#This Row],[Date]])+IF(MONTH(Table6[[#This Row],[Date]])&gt;=4,1,0)</f>
        <v>2025</v>
      </c>
      <c r="C88" s="121">
        <f>YEAR(Table6[[#This Row],[Date]])</f>
        <v>2025</v>
      </c>
      <c r="D88" s="121" t="s">
        <v>490</v>
      </c>
      <c r="E88" s="135">
        <f>Table6[[#This Row],[Date]]-DAY(Table6[[#This Row],[Date]])+1</f>
        <v>45717</v>
      </c>
      <c r="F88" s="134">
        <v>45747</v>
      </c>
      <c r="G88" s="121" t="s">
        <v>153</v>
      </c>
      <c r="H88" s="39" t="str">
        <f>_xlfn.XLOOKUP(Table6[[#This Row],[Affected WTG]],'Basic Data'!$A:$A,'Basic Data'!$B:$B)</f>
        <v>PWEGPL</v>
      </c>
      <c r="I88" s="39" t="str">
        <f>_xlfn.XLOOKUP(Table6[[#This Row],[Affected WTG]],'Basic Data'!$A:$A,'Basic Data'!$C:$C)</f>
        <v>MSEDCL</v>
      </c>
      <c r="J88" s="363">
        <f>IFERROR(VLOOKUP(Table6[[#This Row],[Affected WTG]],'Basic Data'!$A$3:$E$56,5,0),"")</f>
        <v>2.564102564102564E-2</v>
      </c>
      <c r="K88" s="121">
        <v>804</v>
      </c>
      <c r="L88" s="39" t="str">
        <f>IFERROR(VLOOKUP(Table6[[#This Row],[Error Code]],'Basic Data'!$T:$U,2,0),"")</f>
        <v>Difference Between 2 Blades Too High</v>
      </c>
      <c r="M88" s="364" t="s">
        <v>462</v>
      </c>
      <c r="O88" s="365">
        <v>0.29583333333333334</v>
      </c>
      <c r="P88" s="365">
        <v>0.29583333333333334</v>
      </c>
      <c r="Q88" s="365">
        <v>0.29930555555555555</v>
      </c>
      <c r="R88" s="366">
        <f>IF(Table6[[#This Row],[Work Start TimeStamp]]="","",(Table6[[#This Row],[Work Start TimeStamp]]-Table6[[#This Row],[Fault Start TimeStamp]])*24)</f>
        <v>0</v>
      </c>
      <c r="S88" s="367">
        <f>(Table6[[#This Row],[Fault Clearance time]]-Table6[[#This Row],[Work Start TimeStamp]])*24</f>
        <v>8.3333333333333037E-2</v>
      </c>
      <c r="T88" s="368">
        <f>(Table6[[#This Row],[Fault Clearance time]]-Table6[[#This Row],[Fault Start TimeStamp]])*24</f>
        <v>8.3333333333333037E-2</v>
      </c>
      <c r="U88" s="364" t="s">
        <v>480</v>
      </c>
      <c r="V88" s="369" t="s">
        <v>463</v>
      </c>
      <c r="W88" s="354">
        <f>Table6[[#This Row],[Breakdown Time]]*(1/39)</f>
        <v>2.1367521367521292E-3</v>
      </c>
      <c r="X88" s="352" t="s">
        <v>465</v>
      </c>
      <c r="Y88" s="370" t="s">
        <v>152</v>
      </c>
      <c r="Z88" s="121">
        <v>7552</v>
      </c>
      <c r="AA88" s="123">
        <v>26.222222222222129</v>
      </c>
      <c r="AB88" s="121" t="s">
        <v>478</v>
      </c>
    </row>
    <row r="89" spans="1:28">
      <c r="A89" s="121">
        <f t="shared" si="1"/>
        <v>88</v>
      </c>
      <c r="B89" s="123">
        <f>YEAR(Table6[[#This Row],[Date]])+IF(MONTH(Table6[[#This Row],[Date]])&gt;=4,1,0)</f>
        <v>2025</v>
      </c>
      <c r="C89" s="121">
        <f>YEAR(Table6[[#This Row],[Date]])</f>
        <v>2025</v>
      </c>
      <c r="D89" s="121" t="s">
        <v>490</v>
      </c>
      <c r="E89" s="135">
        <f>Table6[[#This Row],[Date]]-DAY(Table6[[#This Row],[Date]])+1</f>
        <v>45717</v>
      </c>
      <c r="F89" s="134">
        <v>45747</v>
      </c>
      <c r="G89" s="121" t="s">
        <v>153</v>
      </c>
      <c r="H89" s="39" t="str">
        <f>_xlfn.XLOOKUP(Table6[[#This Row],[Affected WTG]],'Basic Data'!$A:$A,'Basic Data'!$B:$B)</f>
        <v>PWEGPL</v>
      </c>
      <c r="I89" s="39" t="str">
        <f>_xlfn.XLOOKUP(Table6[[#This Row],[Affected WTG]],'Basic Data'!$A:$A,'Basic Data'!$C:$C)</f>
        <v>MSEDCL</v>
      </c>
      <c r="J89" s="363">
        <f>IFERROR(VLOOKUP(Table6[[#This Row],[Affected WTG]],'Basic Data'!$A$3:$E$56,5,0),"")</f>
        <v>2.564102564102564E-2</v>
      </c>
      <c r="K89" s="121">
        <v>812</v>
      </c>
      <c r="L89" s="39" t="str">
        <f>IFERROR(VLOOKUP(Table6[[#This Row],[Error Code]],'Basic Data'!$T:$U,2,0),"")</f>
        <v>Blade Position Meas. Error</v>
      </c>
      <c r="M89" s="364" t="s">
        <v>462</v>
      </c>
      <c r="O89" s="365">
        <v>0.61458333333333337</v>
      </c>
      <c r="P89" s="365">
        <v>0.61458333333333337</v>
      </c>
      <c r="Q89" s="365">
        <v>0.61805555555555558</v>
      </c>
      <c r="R89" s="366">
        <f>IF(Table6[[#This Row],[Work Start TimeStamp]]="","",(Table6[[#This Row],[Work Start TimeStamp]]-Table6[[#This Row],[Fault Start TimeStamp]])*24)</f>
        <v>0</v>
      </c>
      <c r="S89" s="367">
        <f>(Table6[[#This Row],[Fault Clearance time]]-Table6[[#This Row],[Work Start TimeStamp]])*24</f>
        <v>8.3333333333333037E-2</v>
      </c>
      <c r="T89" s="368">
        <f>(Table6[[#This Row],[Fault Clearance time]]-Table6[[#This Row],[Fault Start TimeStamp]])*24</f>
        <v>8.3333333333333037E-2</v>
      </c>
      <c r="U89" s="364" t="s">
        <v>480</v>
      </c>
      <c r="V89" s="369" t="s">
        <v>463</v>
      </c>
      <c r="W89" s="354">
        <f>Table6[[#This Row],[Breakdown Time]]*(1/39)</f>
        <v>2.1367521367521292E-3</v>
      </c>
      <c r="X89" s="352" t="s">
        <v>465</v>
      </c>
      <c r="Y89" s="370" t="s">
        <v>152</v>
      </c>
      <c r="Z89" s="121">
        <v>7552</v>
      </c>
      <c r="AA89" s="123">
        <v>26.222222222222129</v>
      </c>
      <c r="AB89" s="121" t="s">
        <v>478</v>
      </c>
    </row>
    <row r="90" spans="1:28">
      <c r="A90" s="121">
        <f t="shared" si="1"/>
        <v>89</v>
      </c>
      <c r="B90" s="123">
        <f>YEAR(Table6[[#This Row],[Date]])+IF(MONTH(Table6[[#This Row],[Date]])&gt;=4,1,0)</f>
        <v>2025</v>
      </c>
      <c r="C90" s="121">
        <f>YEAR(Table6[[#This Row],[Date]])</f>
        <v>2025</v>
      </c>
      <c r="D90" s="121" t="s">
        <v>490</v>
      </c>
      <c r="E90" s="135">
        <f>Table6[[#This Row],[Date]]-DAY(Table6[[#This Row],[Date]])+1</f>
        <v>45717</v>
      </c>
      <c r="F90" s="134">
        <v>45747</v>
      </c>
      <c r="G90" s="121" t="s">
        <v>153</v>
      </c>
      <c r="H90" s="39" t="str">
        <f>_xlfn.XLOOKUP(Table6[[#This Row],[Affected WTG]],'Basic Data'!$A:$A,'Basic Data'!$B:$B)</f>
        <v>PWEGPL</v>
      </c>
      <c r="I90" s="39" t="str">
        <f>_xlfn.XLOOKUP(Table6[[#This Row],[Affected WTG]],'Basic Data'!$A:$A,'Basic Data'!$C:$C)</f>
        <v>MSEDCL</v>
      </c>
      <c r="J90" s="363">
        <f>IFERROR(VLOOKUP(Table6[[#This Row],[Affected WTG]],'Basic Data'!$A$3:$E$56,5,0),"")</f>
        <v>2.564102564102564E-2</v>
      </c>
      <c r="K90" s="121">
        <v>812</v>
      </c>
      <c r="L90" s="39" t="str">
        <f>IFERROR(VLOOKUP(Table6[[#This Row],[Error Code]],'Basic Data'!$T:$U,2,0),"")</f>
        <v>Blade Position Meas. Error</v>
      </c>
      <c r="M90" s="364" t="s">
        <v>462</v>
      </c>
      <c r="O90" s="365">
        <v>0.65277777777777779</v>
      </c>
      <c r="P90" s="365">
        <v>0.65277777777777779</v>
      </c>
      <c r="Q90" s="365">
        <v>0.65625</v>
      </c>
      <c r="R90" s="366">
        <f>IF(Table6[[#This Row],[Work Start TimeStamp]]="","",(Table6[[#This Row],[Work Start TimeStamp]]-Table6[[#This Row],[Fault Start TimeStamp]])*24)</f>
        <v>0</v>
      </c>
      <c r="S90" s="367">
        <f>(Table6[[#This Row],[Fault Clearance time]]-Table6[[#This Row],[Work Start TimeStamp]])*24</f>
        <v>8.3333333333333037E-2</v>
      </c>
      <c r="T90" s="368">
        <f>(Table6[[#This Row],[Fault Clearance time]]-Table6[[#This Row],[Fault Start TimeStamp]])*24</f>
        <v>8.3333333333333037E-2</v>
      </c>
      <c r="U90" s="364" t="s">
        <v>480</v>
      </c>
      <c r="V90" s="369" t="s">
        <v>463</v>
      </c>
      <c r="W90" s="354">
        <f>Table6[[#This Row],[Breakdown Time]]*(1/39)</f>
        <v>2.1367521367521292E-3</v>
      </c>
      <c r="X90" s="352" t="s">
        <v>465</v>
      </c>
      <c r="Y90" s="370" t="s">
        <v>152</v>
      </c>
      <c r="Z90" s="121">
        <v>7552</v>
      </c>
      <c r="AA90" s="123">
        <v>26.222222222222129</v>
      </c>
      <c r="AB90" s="121" t="s">
        <v>478</v>
      </c>
    </row>
    <row r="91" spans="1:28">
      <c r="A91" s="121">
        <f t="shared" si="1"/>
        <v>90</v>
      </c>
      <c r="B91" s="123">
        <f>YEAR(Table6[[#This Row],[Date]])+IF(MONTH(Table6[[#This Row],[Date]])&gt;=4,1,0)</f>
        <v>2025</v>
      </c>
      <c r="C91" s="121">
        <f>YEAR(Table6[[#This Row],[Date]])</f>
        <v>2025</v>
      </c>
      <c r="D91" s="121" t="s">
        <v>490</v>
      </c>
      <c r="E91" s="135">
        <f>Table6[[#This Row],[Date]]-DAY(Table6[[#This Row],[Date]])+1</f>
        <v>45717</v>
      </c>
      <c r="F91" s="134">
        <v>45747</v>
      </c>
      <c r="G91" s="121" t="s">
        <v>153</v>
      </c>
      <c r="H91" s="39" t="str">
        <f>_xlfn.XLOOKUP(Table6[[#This Row],[Affected WTG]],'Basic Data'!$A:$A,'Basic Data'!$B:$B)</f>
        <v>PWEGPL</v>
      </c>
      <c r="I91" s="39" t="str">
        <f>_xlfn.XLOOKUP(Table6[[#This Row],[Affected WTG]],'Basic Data'!$A:$A,'Basic Data'!$C:$C)</f>
        <v>MSEDCL</v>
      </c>
      <c r="J91" s="363">
        <f>IFERROR(VLOOKUP(Table6[[#This Row],[Affected WTG]],'Basic Data'!$A$3:$E$56,5,0),"")</f>
        <v>2.564102564102564E-2</v>
      </c>
      <c r="K91" s="121">
        <v>812</v>
      </c>
      <c r="L91" s="39" t="str">
        <f>IFERROR(VLOOKUP(Table6[[#This Row],[Error Code]],'Basic Data'!$T:$U,2,0),"")</f>
        <v>Blade Position Meas. Error</v>
      </c>
      <c r="M91" s="364" t="s">
        <v>462</v>
      </c>
      <c r="O91" s="365">
        <v>0.74513888888888891</v>
      </c>
      <c r="P91" s="365">
        <v>0.74513888888888891</v>
      </c>
      <c r="Q91" s="365">
        <v>0.74861111111111112</v>
      </c>
      <c r="R91" s="366">
        <f>IF(Table6[[#This Row],[Work Start TimeStamp]]="","",(Table6[[#This Row],[Work Start TimeStamp]]-Table6[[#This Row],[Fault Start TimeStamp]])*24)</f>
        <v>0</v>
      </c>
      <c r="S91" s="367">
        <f>(Table6[[#This Row],[Fault Clearance time]]-Table6[[#This Row],[Work Start TimeStamp]])*24</f>
        <v>8.3333333333333037E-2</v>
      </c>
      <c r="T91" s="368">
        <f>(Table6[[#This Row],[Fault Clearance time]]-Table6[[#This Row],[Fault Start TimeStamp]])*24</f>
        <v>8.3333333333333037E-2</v>
      </c>
      <c r="U91" s="364" t="s">
        <v>480</v>
      </c>
      <c r="V91" s="369" t="s">
        <v>463</v>
      </c>
      <c r="W91" s="354">
        <f>Table6[[#This Row],[Breakdown Time]]*(1/39)</f>
        <v>2.1367521367521292E-3</v>
      </c>
      <c r="X91" s="352" t="s">
        <v>465</v>
      </c>
      <c r="Y91" s="370" t="s">
        <v>152</v>
      </c>
      <c r="Z91" s="121">
        <v>7552</v>
      </c>
      <c r="AA91" s="123">
        <v>26.222222222222129</v>
      </c>
      <c r="AB91" s="121" t="s">
        <v>478</v>
      </c>
    </row>
    <row r="92" spans="1:28">
      <c r="A92" s="121">
        <f t="shared" si="1"/>
        <v>91</v>
      </c>
      <c r="B92" s="123">
        <f>YEAR(Table6[[#This Row],[Date]])+IF(MONTH(Table6[[#This Row],[Date]])&gt;=4,1,0)</f>
        <v>2025</v>
      </c>
      <c r="C92" s="121">
        <f>YEAR(Table6[[#This Row],[Date]])</f>
        <v>2025</v>
      </c>
      <c r="D92" s="121" t="s">
        <v>490</v>
      </c>
      <c r="E92" s="135">
        <f>Table6[[#This Row],[Date]]-DAY(Table6[[#This Row],[Date]])+1</f>
        <v>45717</v>
      </c>
      <c r="F92" s="134">
        <v>45747</v>
      </c>
      <c r="G92" s="121" t="s">
        <v>153</v>
      </c>
      <c r="H92" s="39" t="str">
        <f>_xlfn.XLOOKUP(Table6[[#This Row],[Affected WTG]],'Basic Data'!$A:$A,'Basic Data'!$B:$B)</f>
        <v>PWEGPL</v>
      </c>
      <c r="I92" s="39" t="str">
        <f>_xlfn.XLOOKUP(Table6[[#This Row],[Affected WTG]],'Basic Data'!$A:$A,'Basic Data'!$C:$C)</f>
        <v>MSEDCL</v>
      </c>
      <c r="J92" s="363">
        <f>IFERROR(VLOOKUP(Table6[[#This Row],[Affected WTG]],'Basic Data'!$A$3:$E$56,5,0),"")</f>
        <v>2.564102564102564E-2</v>
      </c>
      <c r="K92" s="121">
        <v>804</v>
      </c>
      <c r="L92" s="39" t="str">
        <f>IFERROR(VLOOKUP(Table6[[#This Row],[Error Code]],'Basic Data'!$T:$U,2,0),"")</f>
        <v>Difference Between 2 Blades Too High</v>
      </c>
      <c r="M92" s="364" t="s">
        <v>462</v>
      </c>
      <c r="O92" s="365">
        <v>0.76666666666666672</v>
      </c>
      <c r="P92" s="365">
        <v>0.80486111111111114</v>
      </c>
      <c r="Q92" s="365">
        <v>0.81597222222222221</v>
      </c>
      <c r="R92" s="366">
        <f>IF(Table6[[#This Row],[Work Start TimeStamp]]="","",(Table6[[#This Row],[Work Start TimeStamp]]-Table6[[#This Row],[Fault Start TimeStamp]])*24)</f>
        <v>0.91666666666666607</v>
      </c>
      <c r="S92" s="367">
        <f>(Table6[[#This Row],[Fault Clearance time]]-Table6[[#This Row],[Work Start TimeStamp]])*24</f>
        <v>0.26666666666666572</v>
      </c>
      <c r="T92" s="368">
        <f>(Table6[[#This Row],[Fault Clearance time]]-Table6[[#This Row],[Fault Start TimeStamp]])*24</f>
        <v>1.1833333333333318</v>
      </c>
      <c r="U92" s="364" t="s">
        <v>491</v>
      </c>
      <c r="V92" s="369" t="s">
        <v>463</v>
      </c>
      <c r="W92" s="354">
        <f>Table6[[#This Row],[Breakdown Time]]*(1/39)</f>
        <v>3.03418803418803E-2</v>
      </c>
      <c r="X92" s="352" t="s">
        <v>465</v>
      </c>
      <c r="Y92" s="370" t="s">
        <v>152</v>
      </c>
      <c r="Z92" s="121">
        <v>7552</v>
      </c>
      <c r="AA92" s="123">
        <v>372.3555555555551</v>
      </c>
      <c r="AB92" s="121" t="s">
        <v>478</v>
      </c>
    </row>
    <row r="93" spans="1:28">
      <c r="A93" s="121">
        <f t="shared" si="1"/>
        <v>92</v>
      </c>
      <c r="B93" s="123">
        <f>YEAR(Table6[[#This Row],[Date]])+IF(MONTH(Table6[[#This Row],[Date]])&gt;=4,1,0)</f>
        <v>2025</v>
      </c>
      <c r="C93" s="121">
        <f>YEAR(Table6[[#This Row],[Date]])</f>
        <v>2025</v>
      </c>
      <c r="D93" s="121" t="s">
        <v>490</v>
      </c>
      <c r="E93" s="135">
        <f>Table6[[#This Row],[Date]]-DAY(Table6[[#This Row],[Date]])+1</f>
        <v>45717</v>
      </c>
      <c r="F93" s="134">
        <v>45747</v>
      </c>
      <c r="G93" s="121" t="s">
        <v>153</v>
      </c>
      <c r="H93" s="39" t="str">
        <f>_xlfn.XLOOKUP(Table6[[#This Row],[Affected WTG]],'Basic Data'!$A:$A,'Basic Data'!$B:$B)</f>
        <v>PWEGPL</v>
      </c>
      <c r="I93" s="39" t="str">
        <f>_xlfn.XLOOKUP(Table6[[#This Row],[Affected WTG]],'Basic Data'!$A:$A,'Basic Data'!$C:$C)</f>
        <v>MSEDCL</v>
      </c>
      <c r="J93" s="363">
        <f>IFERROR(VLOOKUP(Table6[[#This Row],[Affected WTG]],'Basic Data'!$A$3:$E$56,5,0),"")</f>
        <v>2.564102564102564E-2</v>
      </c>
      <c r="K93" s="121">
        <v>812</v>
      </c>
      <c r="L93" s="39" t="str">
        <f>IFERROR(VLOOKUP(Table6[[#This Row],[Error Code]],'Basic Data'!$T:$U,2,0),"")</f>
        <v>Blade Position Meas. Error</v>
      </c>
      <c r="M93" s="364" t="s">
        <v>462</v>
      </c>
      <c r="O93" s="365">
        <v>0.81874999999999998</v>
      </c>
      <c r="P93" s="365">
        <v>0.81874999999999998</v>
      </c>
      <c r="Q93" s="365">
        <v>0.99930555555555556</v>
      </c>
      <c r="R93" s="366">
        <f>IF(Table6[[#This Row],[Work Start TimeStamp]]="","",(Table6[[#This Row],[Work Start TimeStamp]]-Table6[[#This Row],[Fault Start TimeStamp]])*24)</f>
        <v>0</v>
      </c>
      <c r="S93" s="367">
        <f>(Table6[[#This Row],[Fault Clearance time]]-Table6[[#This Row],[Work Start TimeStamp]])*24</f>
        <v>4.3333333333333339</v>
      </c>
      <c r="T93" s="368">
        <f>(Table6[[#This Row],[Fault Clearance time]]-Table6[[#This Row],[Fault Start TimeStamp]])*24</f>
        <v>4.3333333333333339</v>
      </c>
      <c r="U93" s="364" t="s">
        <v>500</v>
      </c>
      <c r="V93" s="369" t="s">
        <v>473</v>
      </c>
      <c r="W93" s="354">
        <f>Table6[[#This Row],[Breakdown Time]]*(1/39)</f>
        <v>0.11111111111111112</v>
      </c>
      <c r="X93" s="352" t="s">
        <v>465</v>
      </c>
      <c r="Y93" s="370" t="s">
        <v>152</v>
      </c>
      <c r="Z93" s="121">
        <v>7552</v>
      </c>
      <c r="AA93" s="123">
        <v>1363.5555555555559</v>
      </c>
      <c r="AB93" s="121" t="s">
        <v>478</v>
      </c>
    </row>
    <row r="94" spans="1:28">
      <c r="A94" s="121">
        <f t="shared" si="1"/>
        <v>93</v>
      </c>
      <c r="B94" s="123">
        <f>YEAR(Table6[[#This Row],[Date]])+IF(MONTH(Table6[[#This Row],[Date]])&gt;=4,1,0)</f>
        <v>2026</v>
      </c>
      <c r="C94" s="121">
        <f>YEAR(Table6[[#This Row],[Date]])</f>
        <v>2025</v>
      </c>
      <c r="D94" s="121" t="s">
        <v>490</v>
      </c>
      <c r="E94" s="135">
        <f>Table6[[#This Row],[Date]]-DAY(Table6[[#This Row],[Date]])+1</f>
        <v>45748</v>
      </c>
      <c r="F94" s="134">
        <v>45748</v>
      </c>
      <c r="G94" s="121" t="s">
        <v>144</v>
      </c>
      <c r="H94" s="39" t="str">
        <f>_xlfn.XLOOKUP(Table6[[#This Row],[Affected WTG]],'Basic Data'!$A:$A,'Basic Data'!$B:$B)</f>
        <v>PWEGPL</v>
      </c>
      <c r="I94" s="39" t="str">
        <f>_xlfn.XLOOKUP(Table6[[#This Row],[Affected WTG]],'Basic Data'!$A:$A,'Basic Data'!$C:$C)</f>
        <v>MSEDCL</v>
      </c>
      <c r="J94" s="363">
        <f>IFERROR(VLOOKUP(Table6[[#This Row],[Affected WTG]],'Basic Data'!$A$3:$E$56,5,0),"")</f>
        <v>2.564102564102564E-2</v>
      </c>
      <c r="K94" s="121" t="s">
        <v>492</v>
      </c>
      <c r="L94" s="39" t="str">
        <f>IFERROR(VLOOKUP(Table6[[#This Row],[Error Code]],'Basic Data'!$T:$U,2,0),"")</f>
        <v>Manual Stop - Safety Related</v>
      </c>
      <c r="M94" s="364" t="s">
        <v>481</v>
      </c>
      <c r="O94" s="365">
        <v>0</v>
      </c>
      <c r="P94" s="365">
        <v>0.99930555555555556</v>
      </c>
      <c r="Q94" s="365">
        <v>0.99930555555555556</v>
      </c>
      <c r="R94" s="366">
        <f>IF(Table6[[#This Row],[Work Start TimeStamp]]="","",(Table6[[#This Row],[Work Start TimeStamp]]-Table6[[#This Row],[Fault Start TimeStamp]])*24)</f>
        <v>23.983333333333334</v>
      </c>
      <c r="S94" s="367">
        <f>(Table6[[#This Row],[Fault Clearance time]]-Table6[[#This Row],[Work Start TimeStamp]])*24</f>
        <v>0</v>
      </c>
      <c r="T94" s="368">
        <f>(Table6[[#This Row],[Fault Clearance time]]-Table6[[#This Row],[Fault Start TimeStamp]])*24</f>
        <v>23.983333333333334</v>
      </c>
      <c r="U94" s="364" t="s">
        <v>498</v>
      </c>
      <c r="V94" s="369" t="s">
        <v>473</v>
      </c>
      <c r="W94" s="354">
        <f>Table6[[#This Row],[Breakdown Time]]*(1/39)</f>
        <v>0.61495726495726499</v>
      </c>
      <c r="X94" s="352" t="s">
        <v>468</v>
      </c>
      <c r="Y94" s="370" t="s">
        <v>141</v>
      </c>
      <c r="Z94" s="121">
        <v>6260</v>
      </c>
      <c r="AA94" s="123">
        <v>6255.6527777777774</v>
      </c>
      <c r="AB94" s="121" t="s">
        <v>478</v>
      </c>
    </row>
    <row r="95" spans="1:28">
      <c r="A95" s="121">
        <f t="shared" si="1"/>
        <v>94</v>
      </c>
      <c r="B95" s="123">
        <f>YEAR(Table6[[#This Row],[Date]])+IF(MONTH(Table6[[#This Row],[Date]])&gt;=4,1,0)</f>
        <v>2026</v>
      </c>
      <c r="C95" s="121">
        <f>YEAR(Table6[[#This Row],[Date]])</f>
        <v>2025</v>
      </c>
      <c r="D95" s="121" t="s">
        <v>490</v>
      </c>
      <c r="E95" s="135">
        <f>Table6[[#This Row],[Date]]-DAY(Table6[[#This Row],[Date]])+1</f>
        <v>45748</v>
      </c>
      <c r="F95" s="134">
        <v>45748</v>
      </c>
      <c r="G95" s="121" t="s">
        <v>142</v>
      </c>
      <c r="H95" s="39" t="str">
        <f>_xlfn.XLOOKUP(Table6[[#This Row],[Affected WTG]],'Basic Data'!$A:$A,'Basic Data'!$B:$B)</f>
        <v>PWEGPL</v>
      </c>
      <c r="I95" s="39" t="str">
        <f>_xlfn.XLOOKUP(Table6[[#This Row],[Affected WTG]],'Basic Data'!$A:$A,'Basic Data'!$C:$C)</f>
        <v>MSEDCL</v>
      </c>
      <c r="J95" s="363">
        <f>IFERROR(VLOOKUP(Table6[[#This Row],[Affected WTG]],'Basic Data'!$A$3:$E$56,5,0),"")</f>
        <v>2.564102564102564E-2</v>
      </c>
      <c r="K95" s="121" t="s">
        <v>492</v>
      </c>
      <c r="L95" s="39" t="str">
        <f>IFERROR(VLOOKUP(Table6[[#This Row],[Error Code]],'Basic Data'!$T:$U,2,0),"")</f>
        <v>Manual Stop - Safety Related</v>
      </c>
      <c r="M95" s="364" t="s">
        <v>481</v>
      </c>
      <c r="O95" s="365">
        <v>0</v>
      </c>
      <c r="P95" s="365">
        <v>0.99930555555555556</v>
      </c>
      <c r="Q95" s="365">
        <v>0.99930555555555556</v>
      </c>
      <c r="R95" s="366">
        <f>IF(Table6[[#This Row],[Work Start TimeStamp]]="","",(Table6[[#This Row],[Work Start TimeStamp]]-Table6[[#This Row],[Fault Start TimeStamp]])*24)</f>
        <v>23.983333333333334</v>
      </c>
      <c r="S95" s="367">
        <f>(Table6[[#This Row],[Fault Clearance time]]-Table6[[#This Row],[Work Start TimeStamp]])*24</f>
        <v>0</v>
      </c>
      <c r="T95" s="368">
        <f>(Table6[[#This Row],[Fault Clearance time]]-Table6[[#This Row],[Fault Start TimeStamp]])*24</f>
        <v>23.983333333333334</v>
      </c>
      <c r="U95" s="364" t="s">
        <v>498</v>
      </c>
      <c r="V95" s="369" t="s">
        <v>473</v>
      </c>
      <c r="W95" s="354">
        <f>Table6[[#This Row],[Breakdown Time]]*(1/39)</f>
        <v>0.61495726495726499</v>
      </c>
      <c r="X95" s="352" t="s">
        <v>468</v>
      </c>
      <c r="Y95" s="370" t="s">
        <v>141</v>
      </c>
      <c r="Z95" s="121">
        <v>6260</v>
      </c>
      <c r="AA95" s="123">
        <v>6255.6527777777774</v>
      </c>
      <c r="AB95" s="121" t="s">
        <v>478</v>
      </c>
    </row>
    <row r="96" spans="1:28">
      <c r="A96" s="121">
        <f t="shared" si="1"/>
        <v>95</v>
      </c>
      <c r="B96" s="123">
        <f>YEAR(Table6[[#This Row],[Date]])+IF(MONTH(Table6[[#This Row],[Date]])&gt;=4,1,0)</f>
        <v>2026</v>
      </c>
      <c r="C96" s="121">
        <f>YEAR(Table6[[#This Row],[Date]])</f>
        <v>2025</v>
      </c>
      <c r="D96" s="121" t="s">
        <v>490</v>
      </c>
      <c r="E96" s="135">
        <f>Table6[[#This Row],[Date]]-DAY(Table6[[#This Row],[Date]])+1</f>
        <v>45748</v>
      </c>
      <c r="F96" s="134">
        <v>45748</v>
      </c>
      <c r="G96" s="121" t="s">
        <v>115</v>
      </c>
      <c r="H96" s="39" t="str">
        <f>_xlfn.XLOOKUP(Table6[[#This Row],[Affected WTG]],'Basic Data'!$A:$A,'Basic Data'!$B:$B)</f>
        <v>PWEGPL</v>
      </c>
      <c r="I96" s="39" t="str">
        <f>_xlfn.XLOOKUP(Table6[[#This Row],[Affected WTG]],'Basic Data'!$A:$A,'Basic Data'!$C:$C)</f>
        <v>MSEDCL</v>
      </c>
      <c r="J96" s="363">
        <f>IFERROR(VLOOKUP(Table6[[#This Row],[Affected WTG]],'Basic Data'!$A$3:$E$56,5,0),"")</f>
        <v>2.564102564102564E-2</v>
      </c>
      <c r="K96" s="121">
        <v>107</v>
      </c>
      <c r="L96" s="39" t="str">
        <f>IFERROR(VLOOKUP(Table6[[#This Row],[Error Code]],'Basic Data'!$T:$U,2,0),"")</f>
        <v>Yawing Motor Thermal Relays</v>
      </c>
      <c r="M96" s="364" t="s">
        <v>462</v>
      </c>
      <c r="O96" s="365">
        <v>0.39374999999999999</v>
      </c>
      <c r="P96" s="365">
        <v>0.39374999999999999</v>
      </c>
      <c r="Q96" s="365">
        <v>0.40902777777777777</v>
      </c>
      <c r="R96" s="366">
        <f>IF(Table6[[#This Row],[Work Start TimeStamp]]="","",(Table6[[#This Row],[Work Start TimeStamp]]-Table6[[#This Row],[Fault Start TimeStamp]])*24)</f>
        <v>0</v>
      </c>
      <c r="S96" s="367">
        <f>(Table6[[#This Row],[Fault Clearance time]]-Table6[[#This Row],[Work Start TimeStamp]])*24</f>
        <v>0.3666666666666667</v>
      </c>
      <c r="T96" s="368">
        <f>(Table6[[#This Row],[Fault Clearance time]]-Table6[[#This Row],[Fault Start TimeStamp]])*24</f>
        <v>0.3666666666666667</v>
      </c>
      <c r="U96" s="364" t="s">
        <v>480</v>
      </c>
      <c r="V96" s="369" t="s">
        <v>463</v>
      </c>
      <c r="W96" s="354">
        <f>Table6[[#This Row],[Breakdown Time]]*(1/39)</f>
        <v>9.401709401709403E-3</v>
      </c>
      <c r="X96" s="352" t="s">
        <v>465</v>
      </c>
      <c r="Y96" s="370" t="s">
        <v>121</v>
      </c>
      <c r="Z96" s="121">
        <v>6951</v>
      </c>
      <c r="AA96" s="123">
        <v>106.19583333333334</v>
      </c>
      <c r="AB96" s="121" t="s">
        <v>478</v>
      </c>
    </row>
    <row r="97" spans="1:28">
      <c r="A97" s="121">
        <f t="shared" si="1"/>
        <v>96</v>
      </c>
      <c r="B97" s="123">
        <f>YEAR(Table6[[#This Row],[Date]])+IF(MONTH(Table6[[#This Row],[Date]])&gt;=4,1,0)</f>
        <v>2026</v>
      </c>
      <c r="C97" s="121">
        <f>YEAR(Table6[[#This Row],[Date]])</f>
        <v>2025</v>
      </c>
      <c r="D97" s="121" t="s">
        <v>490</v>
      </c>
      <c r="E97" s="135">
        <f>Table6[[#This Row],[Date]]-DAY(Table6[[#This Row],[Date]])+1</f>
        <v>45748</v>
      </c>
      <c r="F97" s="134">
        <v>45748</v>
      </c>
      <c r="G97" s="121" t="s">
        <v>115</v>
      </c>
      <c r="H97" s="39" t="str">
        <f>_xlfn.XLOOKUP(Table6[[#This Row],[Affected WTG]],'Basic Data'!$A:$A,'Basic Data'!$B:$B)</f>
        <v>PWEGPL</v>
      </c>
      <c r="I97" s="39" t="str">
        <f>_xlfn.XLOOKUP(Table6[[#This Row],[Affected WTG]],'Basic Data'!$A:$A,'Basic Data'!$C:$C)</f>
        <v>MSEDCL</v>
      </c>
      <c r="J97" s="363">
        <f>IFERROR(VLOOKUP(Table6[[#This Row],[Affected WTG]],'Basic Data'!$A$3:$E$56,5,0),"")</f>
        <v>2.564102564102564E-2</v>
      </c>
      <c r="K97" s="121">
        <v>125</v>
      </c>
      <c r="L97" s="39" t="str">
        <f>IFERROR(VLOOKUP(Table6[[#This Row],[Error Code]],'Basic Data'!$T:$U,2,0),"")</f>
        <v xml:space="preserve">Yaw Motors Over Current Protection </v>
      </c>
      <c r="M97" s="364" t="s">
        <v>462</v>
      </c>
      <c r="O97" s="365">
        <v>0.47361111111111109</v>
      </c>
      <c r="P97" s="365">
        <v>0.64583333333333337</v>
      </c>
      <c r="Q97" s="365">
        <v>0.72013888888888888</v>
      </c>
      <c r="R97" s="366">
        <f>IF(Table6[[#This Row],[Work Start TimeStamp]]="","",(Table6[[#This Row],[Work Start TimeStamp]]-Table6[[#This Row],[Fault Start TimeStamp]])*24)</f>
        <v>4.1333333333333346</v>
      </c>
      <c r="S97" s="367">
        <f>(Table6[[#This Row],[Fault Clearance time]]-Table6[[#This Row],[Work Start TimeStamp]])*24</f>
        <v>1.7833333333333323</v>
      </c>
      <c r="T97" s="368">
        <f>(Table6[[#This Row],[Fault Clearance time]]-Table6[[#This Row],[Fault Start TimeStamp]])*24</f>
        <v>5.916666666666667</v>
      </c>
      <c r="U97" s="364" t="s">
        <v>519</v>
      </c>
      <c r="V97" s="369" t="s">
        <v>463</v>
      </c>
      <c r="W97" s="354">
        <f>Table6[[#This Row],[Breakdown Time]]*(1/39)</f>
        <v>0.15170940170940173</v>
      </c>
      <c r="X97" s="352" t="s">
        <v>465</v>
      </c>
      <c r="Y97" s="370" t="s">
        <v>121</v>
      </c>
      <c r="Z97" s="121">
        <v>6951</v>
      </c>
      <c r="AA97" s="123">
        <v>1713.6145833333335</v>
      </c>
      <c r="AB97" s="121" t="s">
        <v>478</v>
      </c>
    </row>
    <row r="98" spans="1:28">
      <c r="A98" s="121">
        <f t="shared" si="1"/>
        <v>97</v>
      </c>
      <c r="B98" s="123">
        <f>YEAR(Table6[[#This Row],[Date]])+IF(MONTH(Table6[[#This Row],[Date]])&gt;=4,1,0)</f>
        <v>2026</v>
      </c>
      <c r="C98" s="121">
        <f>YEAR(Table6[[#This Row],[Date]])</f>
        <v>2025</v>
      </c>
      <c r="D98" s="121" t="s">
        <v>490</v>
      </c>
      <c r="E98" s="135">
        <f>Table6[[#This Row],[Date]]-DAY(Table6[[#This Row],[Date]])+1</f>
        <v>45748</v>
      </c>
      <c r="F98" s="134">
        <v>45748</v>
      </c>
      <c r="G98" s="121" t="s">
        <v>115</v>
      </c>
      <c r="H98" s="39" t="str">
        <f>_xlfn.XLOOKUP(Table6[[#This Row],[Affected WTG]],'Basic Data'!$A:$A,'Basic Data'!$B:$B)</f>
        <v>PWEGPL</v>
      </c>
      <c r="I98" s="39" t="str">
        <f>_xlfn.XLOOKUP(Table6[[#This Row],[Affected WTG]],'Basic Data'!$A:$A,'Basic Data'!$C:$C)</f>
        <v>MSEDCL</v>
      </c>
      <c r="J98" s="363">
        <f>IFERROR(VLOOKUP(Table6[[#This Row],[Affected WTG]],'Basic Data'!$A$3:$E$56,5,0),"")</f>
        <v>2.564102564102564E-2</v>
      </c>
      <c r="K98" s="121">
        <v>804</v>
      </c>
      <c r="L98" s="39" t="str">
        <f>IFERROR(VLOOKUP(Table6[[#This Row],[Error Code]],'Basic Data'!$T:$U,2,0),"")</f>
        <v>Difference Between 2 Blades Too High</v>
      </c>
      <c r="M98" s="364" t="s">
        <v>462</v>
      </c>
      <c r="O98" s="365">
        <v>0.72083333333333333</v>
      </c>
      <c r="P98" s="365">
        <v>0.72083333333333333</v>
      </c>
      <c r="Q98" s="365">
        <v>0.84861111111111109</v>
      </c>
      <c r="R98" s="366">
        <f>IF(Table6[[#This Row],[Work Start TimeStamp]]="","",(Table6[[#This Row],[Work Start TimeStamp]]-Table6[[#This Row],[Fault Start TimeStamp]])*24)</f>
        <v>0</v>
      </c>
      <c r="S98" s="367">
        <f>(Table6[[#This Row],[Fault Clearance time]]-Table6[[#This Row],[Work Start TimeStamp]])*24</f>
        <v>3.0666666666666664</v>
      </c>
      <c r="T98" s="368">
        <f>(Table6[[#This Row],[Fault Clearance time]]-Table6[[#This Row],[Fault Start TimeStamp]])*24</f>
        <v>3.0666666666666664</v>
      </c>
      <c r="U98" s="364" t="s">
        <v>520</v>
      </c>
      <c r="V98" s="369" t="s">
        <v>463</v>
      </c>
      <c r="W98" s="354">
        <f>Table6[[#This Row],[Breakdown Time]]*(1/39)</f>
        <v>7.8632478632478617E-2</v>
      </c>
      <c r="X98" s="352" t="s">
        <v>465</v>
      </c>
      <c r="Y98" s="370" t="s">
        <v>121</v>
      </c>
      <c r="Z98" s="121">
        <v>6951</v>
      </c>
      <c r="AA98" s="123">
        <v>888.18333333333328</v>
      </c>
      <c r="AB98" s="121" t="s">
        <v>478</v>
      </c>
    </row>
    <row r="99" spans="1:28">
      <c r="A99" s="121">
        <f t="shared" si="1"/>
        <v>98</v>
      </c>
      <c r="B99" s="123">
        <f>YEAR(Table6[[#This Row],[Date]])+IF(MONTH(Table6[[#This Row],[Date]])&gt;=4,1,0)</f>
        <v>2026</v>
      </c>
      <c r="C99" s="121">
        <f>YEAR(Table6[[#This Row],[Date]])</f>
        <v>2025</v>
      </c>
      <c r="D99" s="121" t="s">
        <v>490</v>
      </c>
      <c r="E99" s="135">
        <f>Table6[[#This Row],[Date]]-DAY(Table6[[#This Row],[Date]])+1</f>
        <v>45748</v>
      </c>
      <c r="F99" s="134">
        <v>45748</v>
      </c>
      <c r="G99" s="121" t="s">
        <v>118</v>
      </c>
      <c r="H99" s="39" t="str">
        <f>_xlfn.XLOOKUP(Table6[[#This Row],[Affected WTG]],'Basic Data'!$A:$A,'Basic Data'!$B:$B)</f>
        <v>PWEGPL</v>
      </c>
      <c r="I99" s="39" t="str">
        <f>_xlfn.XLOOKUP(Table6[[#This Row],[Affected WTG]],'Basic Data'!$A:$A,'Basic Data'!$C:$C)</f>
        <v>MSEDCL</v>
      </c>
      <c r="J99" s="363">
        <f>IFERROR(VLOOKUP(Table6[[#This Row],[Affected WTG]],'Basic Data'!$A$3:$E$56,5,0),"")</f>
        <v>2.564102564102564E-2</v>
      </c>
      <c r="K99" s="121">
        <v>5202</v>
      </c>
      <c r="L99" s="39" t="str">
        <f>IFERROR(VLOOKUP(Table6[[#This Row],[Error Code]],'Basic Data'!$T:$U,2,0),"")</f>
        <v>Stator Contactor Failure</v>
      </c>
      <c r="M99" s="364" t="s">
        <v>462</v>
      </c>
      <c r="O99" s="365">
        <v>0.92291666666666672</v>
      </c>
      <c r="P99" s="365">
        <v>0.92291666666666672</v>
      </c>
      <c r="Q99" s="365">
        <v>0.92638888888888893</v>
      </c>
      <c r="R99" s="366">
        <f>IF(Table6[[#This Row],[Work Start TimeStamp]]="","",(Table6[[#This Row],[Work Start TimeStamp]]-Table6[[#This Row],[Fault Start TimeStamp]])*24)</f>
        <v>0</v>
      </c>
      <c r="S99" s="367">
        <f>(Table6[[#This Row],[Fault Clearance time]]-Table6[[#This Row],[Work Start TimeStamp]])*24</f>
        <v>8.3333333333333037E-2</v>
      </c>
      <c r="T99" s="368">
        <f>(Table6[[#This Row],[Fault Clearance time]]-Table6[[#This Row],[Fault Start TimeStamp]])*24</f>
        <v>8.3333333333333037E-2</v>
      </c>
      <c r="U99" s="364" t="s">
        <v>480</v>
      </c>
      <c r="V99" s="369" t="s">
        <v>463</v>
      </c>
      <c r="W99" s="354">
        <f>Table6[[#This Row],[Breakdown Time]]*(1/39)</f>
        <v>2.1367521367521292E-3</v>
      </c>
      <c r="X99" s="352" t="s">
        <v>465</v>
      </c>
      <c r="Y99" s="370" t="s">
        <v>117</v>
      </c>
      <c r="Z99" s="121">
        <v>5356</v>
      </c>
      <c r="AA99" s="123">
        <v>18.597222222222154</v>
      </c>
      <c r="AB99" s="121" t="s">
        <v>478</v>
      </c>
    </row>
    <row r="100" spans="1:28">
      <c r="A100" s="121">
        <f t="shared" si="1"/>
        <v>99</v>
      </c>
      <c r="B100" s="123">
        <f>YEAR(Table6[[#This Row],[Date]])+IF(MONTH(Table6[[#This Row],[Date]])&gt;=4,1,0)</f>
        <v>2026</v>
      </c>
      <c r="C100" s="121">
        <f>YEAR(Table6[[#This Row],[Date]])</f>
        <v>2025</v>
      </c>
      <c r="D100" s="121" t="s">
        <v>490</v>
      </c>
      <c r="E100" s="135">
        <f>Table6[[#This Row],[Date]]-DAY(Table6[[#This Row],[Date]])+1</f>
        <v>45748</v>
      </c>
      <c r="F100" s="134">
        <v>45748</v>
      </c>
      <c r="G100" s="121" t="s">
        <v>122</v>
      </c>
      <c r="H100" s="39" t="str">
        <f>_xlfn.XLOOKUP(Table6[[#This Row],[Affected WTG]],'Basic Data'!$A:$A,'Basic Data'!$B:$B)</f>
        <v>PWEGPL</v>
      </c>
      <c r="I100" s="39" t="str">
        <f>_xlfn.XLOOKUP(Table6[[#This Row],[Affected WTG]],'Basic Data'!$A:$A,'Basic Data'!$C:$C)</f>
        <v>MSEDCL</v>
      </c>
      <c r="J100" s="363">
        <f>IFERROR(VLOOKUP(Table6[[#This Row],[Affected WTG]],'Basic Data'!$A$3:$E$56,5,0),"")</f>
        <v>2.564102564102564E-2</v>
      </c>
      <c r="K100" s="121">
        <v>110</v>
      </c>
      <c r="L100" s="39" t="str">
        <f>IFERROR(VLOOKUP(Table6[[#This Row],[Error Code]],'Basic Data'!$T:$U,2,0),"")</f>
        <v>Yaw Sensor Wiring Error</v>
      </c>
      <c r="M100" s="364" t="s">
        <v>462</v>
      </c>
      <c r="O100" s="365">
        <v>0.19722222222222222</v>
      </c>
      <c r="P100" s="365">
        <v>0.3</v>
      </c>
      <c r="Q100" s="365">
        <v>0.31111111111111112</v>
      </c>
      <c r="R100" s="366">
        <f>IF(Table6[[#This Row],[Work Start TimeStamp]]="","",(Table6[[#This Row],[Work Start TimeStamp]]-Table6[[#This Row],[Fault Start TimeStamp]])*24)</f>
        <v>2.4666666666666668</v>
      </c>
      <c r="S100" s="367">
        <f>(Table6[[#This Row],[Fault Clearance time]]-Table6[[#This Row],[Work Start TimeStamp]])*24</f>
        <v>0.26666666666666705</v>
      </c>
      <c r="T100" s="368">
        <f>(Table6[[#This Row],[Fault Clearance time]]-Table6[[#This Row],[Fault Start TimeStamp]])*24</f>
        <v>2.7333333333333334</v>
      </c>
      <c r="U100" s="364" t="s">
        <v>495</v>
      </c>
      <c r="V100" s="369" t="s">
        <v>463</v>
      </c>
      <c r="W100" s="354">
        <f>Table6[[#This Row],[Breakdown Time]]*(1/39)</f>
        <v>7.0085470085470086E-2</v>
      </c>
      <c r="X100" s="352" t="s">
        <v>465</v>
      </c>
      <c r="Y100" s="370" t="s">
        <v>122</v>
      </c>
      <c r="Z100" s="121">
        <v>6252</v>
      </c>
      <c r="AA100" s="123">
        <v>712.0333333333333</v>
      </c>
      <c r="AB100" s="121" t="s">
        <v>478</v>
      </c>
    </row>
    <row r="101" spans="1:28">
      <c r="A101" s="121">
        <f t="shared" si="1"/>
        <v>100</v>
      </c>
      <c r="B101" s="123">
        <f>YEAR(Table6[[#This Row],[Date]])+IF(MONTH(Table6[[#This Row],[Date]])&gt;=4,1,0)</f>
        <v>2026</v>
      </c>
      <c r="C101" s="121">
        <f>YEAR(Table6[[#This Row],[Date]])</f>
        <v>2025</v>
      </c>
      <c r="D101" s="121" t="s">
        <v>490</v>
      </c>
      <c r="E101" s="135">
        <f>Table6[[#This Row],[Date]]-DAY(Table6[[#This Row],[Date]])+1</f>
        <v>45748</v>
      </c>
      <c r="F101" s="134">
        <v>45748</v>
      </c>
      <c r="G101" s="121" t="s">
        <v>126</v>
      </c>
      <c r="H101" s="39" t="str">
        <f>_xlfn.XLOOKUP(Table6[[#This Row],[Affected WTG]],'Basic Data'!$A:$A,'Basic Data'!$B:$B)</f>
        <v>PWEGPL</v>
      </c>
      <c r="I101" s="39" t="str">
        <f>_xlfn.XLOOKUP(Table6[[#This Row],[Affected WTG]],'Basic Data'!$A:$A,'Basic Data'!$C:$C)</f>
        <v>MSEDCL</v>
      </c>
      <c r="J101" s="363">
        <f>IFERROR(VLOOKUP(Table6[[#This Row],[Affected WTG]],'Basic Data'!$A$3:$E$56,5,0),"")</f>
        <v>2.564102564102564E-2</v>
      </c>
      <c r="K101" s="121">
        <v>5210</v>
      </c>
      <c r="L101" s="39" t="str">
        <f>IFERROR(VLOOKUP(Table6[[#This Row],[Error Code]],'Basic Data'!$T:$U,2,0),"")</f>
        <v>Failure Of The Contactor's Rotor Power</v>
      </c>
      <c r="M101" s="364" t="s">
        <v>462</v>
      </c>
      <c r="O101" s="365">
        <v>0.11388888888888889</v>
      </c>
      <c r="P101" s="365">
        <v>0.11388888888888889</v>
      </c>
      <c r="Q101" s="365">
        <v>0.11736111111111111</v>
      </c>
      <c r="R101" s="366">
        <f>IF(Table6[[#This Row],[Work Start TimeStamp]]="","",(Table6[[#This Row],[Work Start TimeStamp]]-Table6[[#This Row],[Fault Start TimeStamp]])*24)</f>
        <v>0</v>
      </c>
      <c r="S101" s="367">
        <f>(Table6[[#This Row],[Fault Clearance time]]-Table6[[#This Row],[Work Start TimeStamp]])*24</f>
        <v>8.333333333333337E-2</v>
      </c>
      <c r="T101" s="368">
        <f>(Table6[[#This Row],[Fault Clearance time]]-Table6[[#This Row],[Fault Start TimeStamp]])*24</f>
        <v>8.333333333333337E-2</v>
      </c>
      <c r="U101" s="364" t="s">
        <v>480</v>
      </c>
      <c r="V101" s="369" t="s">
        <v>463</v>
      </c>
      <c r="W101" s="354">
        <f>Table6[[#This Row],[Breakdown Time]]*(1/39)</f>
        <v>2.1367521367521378E-3</v>
      </c>
      <c r="X101" s="352" t="s">
        <v>465</v>
      </c>
      <c r="Y101" s="370" t="s">
        <v>127</v>
      </c>
      <c r="Z101" s="121">
        <v>5686</v>
      </c>
      <c r="AA101" s="123">
        <v>19.743055555555564</v>
      </c>
      <c r="AB101" s="121" t="s">
        <v>478</v>
      </c>
    </row>
    <row r="102" spans="1:28">
      <c r="A102" s="121">
        <f t="shared" si="1"/>
        <v>101</v>
      </c>
      <c r="B102" s="123">
        <f>YEAR(Table6[[#This Row],[Date]])+IF(MONTH(Table6[[#This Row],[Date]])&gt;=4,1,0)</f>
        <v>2026</v>
      </c>
      <c r="C102" s="121">
        <f>YEAR(Table6[[#This Row],[Date]])</f>
        <v>2025</v>
      </c>
      <c r="D102" s="121" t="s">
        <v>490</v>
      </c>
      <c r="E102" s="135">
        <f>Table6[[#This Row],[Date]]-DAY(Table6[[#This Row],[Date]])+1</f>
        <v>45748</v>
      </c>
      <c r="F102" s="134">
        <v>45748</v>
      </c>
      <c r="G102" s="121" t="s">
        <v>126</v>
      </c>
      <c r="H102" s="39" t="str">
        <f>_xlfn.XLOOKUP(Table6[[#This Row],[Affected WTG]],'Basic Data'!$A:$A,'Basic Data'!$B:$B)</f>
        <v>PWEGPL</v>
      </c>
      <c r="I102" s="39" t="str">
        <f>_xlfn.XLOOKUP(Table6[[#This Row],[Affected WTG]],'Basic Data'!$A:$A,'Basic Data'!$C:$C)</f>
        <v>MSEDCL</v>
      </c>
      <c r="J102" s="363">
        <f>IFERROR(VLOOKUP(Table6[[#This Row],[Affected WTG]],'Basic Data'!$A$3:$E$56,5,0),"")</f>
        <v>2.564102564102564E-2</v>
      </c>
      <c r="K102" s="121">
        <v>203</v>
      </c>
      <c r="L102" s="39" t="str">
        <f>IFERROR(VLOOKUP(Table6[[#This Row],[Error Code]],'Basic Data'!$T:$U,2,0),"")</f>
        <v>Low Pressure On Hydraulic Group</v>
      </c>
      <c r="M102" s="364" t="s">
        <v>462</v>
      </c>
      <c r="O102" s="365">
        <v>0.53472222222222221</v>
      </c>
      <c r="P102" s="365">
        <v>0.53472222222222221</v>
      </c>
      <c r="Q102" s="365">
        <v>0.53819444444444442</v>
      </c>
      <c r="R102" s="366">
        <f>IF(Table6[[#This Row],[Work Start TimeStamp]]="","",(Table6[[#This Row],[Work Start TimeStamp]]-Table6[[#This Row],[Fault Start TimeStamp]])*24)</f>
        <v>0</v>
      </c>
      <c r="S102" s="367">
        <f>(Table6[[#This Row],[Fault Clearance time]]-Table6[[#This Row],[Work Start TimeStamp]])*24</f>
        <v>8.3333333333333037E-2</v>
      </c>
      <c r="T102" s="368">
        <f>(Table6[[#This Row],[Fault Clearance time]]-Table6[[#This Row],[Fault Start TimeStamp]])*24</f>
        <v>8.3333333333333037E-2</v>
      </c>
      <c r="U102" s="364" t="s">
        <v>480</v>
      </c>
      <c r="V102" s="369" t="s">
        <v>463</v>
      </c>
      <c r="W102" s="354">
        <f>Table6[[#This Row],[Breakdown Time]]*(1/39)</f>
        <v>2.1367521367521292E-3</v>
      </c>
      <c r="X102" s="352" t="s">
        <v>465</v>
      </c>
      <c r="Y102" s="370" t="s">
        <v>127</v>
      </c>
      <c r="Z102" s="121">
        <v>5686</v>
      </c>
      <c r="AA102" s="123">
        <v>19.743055555555486</v>
      </c>
      <c r="AB102" s="121" t="s">
        <v>478</v>
      </c>
    </row>
    <row r="103" spans="1:28">
      <c r="A103" s="121">
        <f t="shared" si="1"/>
        <v>102</v>
      </c>
      <c r="B103" s="123">
        <f>YEAR(Table6[[#This Row],[Date]])+IF(MONTH(Table6[[#This Row],[Date]])&gt;=4,1,0)</f>
        <v>2026</v>
      </c>
      <c r="C103" s="121">
        <f>YEAR(Table6[[#This Row],[Date]])</f>
        <v>2025</v>
      </c>
      <c r="D103" s="121" t="s">
        <v>490</v>
      </c>
      <c r="E103" s="135">
        <f>Table6[[#This Row],[Date]]-DAY(Table6[[#This Row],[Date]])+1</f>
        <v>45748</v>
      </c>
      <c r="F103" s="134">
        <v>45748</v>
      </c>
      <c r="G103" s="121" t="s">
        <v>127</v>
      </c>
      <c r="H103" s="39" t="str">
        <f>_xlfn.XLOOKUP(Table6[[#This Row],[Affected WTG]],'Basic Data'!$A:$A,'Basic Data'!$B:$B)</f>
        <v>PWEGPL</v>
      </c>
      <c r="I103" s="39" t="str">
        <f>_xlfn.XLOOKUP(Table6[[#This Row],[Affected WTG]],'Basic Data'!$A:$A,'Basic Data'!$C:$C)</f>
        <v>MSEDCL</v>
      </c>
      <c r="J103" s="363">
        <f>IFERROR(VLOOKUP(Table6[[#This Row],[Affected WTG]],'Basic Data'!$A$3:$E$56,5,0),"")</f>
        <v>2.564102564102564E-2</v>
      </c>
      <c r="K103" s="121">
        <v>5210</v>
      </c>
      <c r="L103" s="39" t="str">
        <f>IFERROR(VLOOKUP(Table6[[#This Row],[Error Code]],'Basic Data'!$T:$U,2,0),"")</f>
        <v>Failure Of The Contactor's Rotor Power</v>
      </c>
      <c r="M103" s="364" t="s">
        <v>462</v>
      </c>
      <c r="O103" s="365">
        <v>0.94097222222222221</v>
      </c>
      <c r="P103" s="365">
        <v>0.94097222222222221</v>
      </c>
      <c r="Q103" s="365">
        <v>0.99930555555555556</v>
      </c>
      <c r="R103" s="366">
        <f>IF(Table6[[#This Row],[Work Start TimeStamp]]="","",(Table6[[#This Row],[Work Start TimeStamp]]-Table6[[#This Row],[Fault Start TimeStamp]])*24)</f>
        <v>0</v>
      </c>
      <c r="S103" s="367">
        <f>(Table6[[#This Row],[Fault Clearance time]]-Table6[[#This Row],[Work Start TimeStamp]])*24</f>
        <v>1.4000000000000004</v>
      </c>
      <c r="T103" s="368">
        <f>(Table6[[#This Row],[Fault Clearance time]]-Table6[[#This Row],[Fault Start TimeStamp]])*24</f>
        <v>1.4000000000000004</v>
      </c>
      <c r="U103" s="364" t="s">
        <v>500</v>
      </c>
      <c r="V103" s="369" t="s">
        <v>473</v>
      </c>
      <c r="W103" s="354">
        <f>Table6[[#This Row],[Breakdown Time]]*(1/39)</f>
        <v>3.5897435897435909E-2</v>
      </c>
      <c r="X103" s="352" t="s">
        <v>465</v>
      </c>
      <c r="Y103" s="370" t="s">
        <v>128</v>
      </c>
      <c r="Z103" s="121">
        <v>4942</v>
      </c>
      <c r="AA103" s="123">
        <v>288.28333333333342</v>
      </c>
      <c r="AB103" s="121" t="s">
        <v>478</v>
      </c>
    </row>
    <row r="104" spans="1:28">
      <c r="A104" s="121">
        <f t="shared" si="1"/>
        <v>103</v>
      </c>
      <c r="B104" s="123">
        <f>YEAR(Table6[[#This Row],[Date]])+IF(MONTH(Table6[[#This Row],[Date]])&gt;=4,1,0)</f>
        <v>2026</v>
      </c>
      <c r="C104" s="121">
        <f>YEAR(Table6[[#This Row],[Date]])</f>
        <v>2025</v>
      </c>
      <c r="D104" s="121" t="s">
        <v>490</v>
      </c>
      <c r="E104" s="135">
        <f>Table6[[#This Row],[Date]]-DAY(Table6[[#This Row],[Date]])+1</f>
        <v>45748</v>
      </c>
      <c r="F104" s="134">
        <v>45748</v>
      </c>
      <c r="G104" s="121" t="s">
        <v>128</v>
      </c>
      <c r="H104" s="39" t="str">
        <f>_xlfn.XLOOKUP(Table6[[#This Row],[Affected WTG]],'Basic Data'!$A:$A,'Basic Data'!$B:$B)</f>
        <v>PWEGPL</v>
      </c>
      <c r="I104" s="39" t="str">
        <f>_xlfn.XLOOKUP(Table6[[#This Row],[Affected WTG]],'Basic Data'!$A:$A,'Basic Data'!$C:$C)</f>
        <v>MSEDCL</v>
      </c>
      <c r="J104" s="363">
        <f>IFERROR(VLOOKUP(Table6[[#This Row],[Affected WTG]],'Basic Data'!$A$3:$E$56,5,0),"")</f>
        <v>2.564102564102564E-2</v>
      </c>
      <c r="K104" s="121">
        <v>203</v>
      </c>
      <c r="L104" s="39" t="str">
        <f>IFERROR(VLOOKUP(Table6[[#This Row],[Error Code]],'Basic Data'!$T:$U,2,0),"")</f>
        <v>Low Pressure On Hydraulic Group</v>
      </c>
      <c r="M104" s="364" t="s">
        <v>462</v>
      </c>
      <c r="O104" s="365">
        <v>0.92986111111111114</v>
      </c>
      <c r="P104" s="365">
        <v>0.92986111111111114</v>
      </c>
      <c r="Q104" s="365">
        <v>0.93333333333333335</v>
      </c>
      <c r="R104" s="366">
        <f>IF(Table6[[#This Row],[Work Start TimeStamp]]="","",(Table6[[#This Row],[Work Start TimeStamp]]-Table6[[#This Row],[Fault Start TimeStamp]])*24)</f>
        <v>0</v>
      </c>
      <c r="S104" s="367">
        <f>(Table6[[#This Row],[Fault Clearance time]]-Table6[[#This Row],[Work Start TimeStamp]])*24</f>
        <v>8.3333333333333037E-2</v>
      </c>
      <c r="T104" s="368">
        <f>(Table6[[#This Row],[Fault Clearance time]]-Table6[[#This Row],[Fault Start TimeStamp]])*24</f>
        <v>8.3333333333333037E-2</v>
      </c>
      <c r="U104" s="364" t="s">
        <v>480</v>
      </c>
      <c r="V104" s="369" t="s">
        <v>463</v>
      </c>
      <c r="W104" s="354">
        <f>Table6[[#This Row],[Breakdown Time]]*(1/39)</f>
        <v>2.1367521367521292E-3</v>
      </c>
      <c r="X104" s="352" t="s">
        <v>465</v>
      </c>
      <c r="Y104" s="370" t="s">
        <v>129</v>
      </c>
      <c r="Z104" s="121">
        <v>4039</v>
      </c>
      <c r="AA104" s="123">
        <v>14.024305555555506</v>
      </c>
      <c r="AB104" s="121" t="s">
        <v>478</v>
      </c>
    </row>
    <row r="105" spans="1:28">
      <c r="A105" s="121">
        <f t="shared" si="1"/>
        <v>104</v>
      </c>
      <c r="B105" s="123">
        <f>YEAR(Table6[[#This Row],[Date]])+IF(MONTH(Table6[[#This Row],[Date]])&gt;=4,1,0)</f>
        <v>2026</v>
      </c>
      <c r="C105" s="121">
        <f>YEAR(Table6[[#This Row],[Date]])</f>
        <v>2025</v>
      </c>
      <c r="D105" s="121" t="s">
        <v>490</v>
      </c>
      <c r="E105" s="135">
        <f>Table6[[#This Row],[Date]]-DAY(Table6[[#This Row],[Date]])+1</f>
        <v>45748</v>
      </c>
      <c r="F105" s="134">
        <v>45748</v>
      </c>
      <c r="G105" s="121" t="s">
        <v>128</v>
      </c>
      <c r="H105" s="39" t="str">
        <f>_xlfn.XLOOKUP(Table6[[#This Row],[Affected WTG]],'Basic Data'!$A:$A,'Basic Data'!$B:$B)</f>
        <v>PWEGPL</v>
      </c>
      <c r="I105" s="39" t="str">
        <f>_xlfn.XLOOKUP(Table6[[#This Row],[Affected WTG]],'Basic Data'!$A:$A,'Basic Data'!$C:$C)</f>
        <v>MSEDCL</v>
      </c>
      <c r="J105" s="363">
        <f>IFERROR(VLOOKUP(Table6[[#This Row],[Affected WTG]],'Basic Data'!$A$3:$E$56,5,0),"")</f>
        <v>2.564102564102564E-2</v>
      </c>
      <c r="K105" s="121">
        <v>5201</v>
      </c>
      <c r="L105" s="39" t="str">
        <f>IFERROR(VLOOKUP(Table6[[#This Row],[Error Code]],'Basic Data'!$T:$U,2,0),"")</f>
        <v>Magnetothermic Trigger Of The Stator Protection</v>
      </c>
      <c r="M105" s="364" t="s">
        <v>462</v>
      </c>
      <c r="O105" s="365">
        <v>0.9604166666666667</v>
      </c>
      <c r="P105" s="365">
        <v>0.99930555555555556</v>
      </c>
      <c r="Q105" s="365">
        <v>0.99930555555555556</v>
      </c>
      <c r="R105" s="366">
        <f>IF(Table6[[#This Row],[Work Start TimeStamp]]="","",(Table6[[#This Row],[Work Start TimeStamp]]-Table6[[#This Row],[Fault Start TimeStamp]])*24)</f>
        <v>0.93333333333333268</v>
      </c>
      <c r="S105" s="367">
        <f>(Table6[[#This Row],[Fault Clearance time]]-Table6[[#This Row],[Work Start TimeStamp]])*24</f>
        <v>0</v>
      </c>
      <c r="T105" s="368">
        <f>(Table6[[#This Row],[Fault Clearance time]]-Table6[[#This Row],[Fault Start TimeStamp]])*24</f>
        <v>0.93333333333333268</v>
      </c>
      <c r="U105" s="364" t="s">
        <v>500</v>
      </c>
      <c r="V105" s="369" t="s">
        <v>473</v>
      </c>
      <c r="W105" s="354">
        <f>Table6[[#This Row],[Breakdown Time]]*(1/39)</f>
        <v>2.3931623931623913E-2</v>
      </c>
      <c r="X105" s="352" t="s">
        <v>465</v>
      </c>
      <c r="Y105" s="370" t="s">
        <v>129</v>
      </c>
      <c r="Z105" s="121">
        <v>4039</v>
      </c>
      <c r="AA105" s="123">
        <v>157.07222222222211</v>
      </c>
      <c r="AB105" s="121" t="s">
        <v>478</v>
      </c>
    </row>
    <row r="106" spans="1:28">
      <c r="A106" s="121">
        <f t="shared" si="1"/>
        <v>105</v>
      </c>
      <c r="B106" s="123">
        <f>YEAR(Table6[[#This Row],[Date]])+IF(MONTH(Table6[[#This Row],[Date]])&gt;=4,1,0)</f>
        <v>2026</v>
      </c>
      <c r="C106" s="121">
        <f>YEAR(Table6[[#This Row],[Date]])</f>
        <v>2025</v>
      </c>
      <c r="D106" s="121" t="s">
        <v>490</v>
      </c>
      <c r="E106" s="135">
        <f>Table6[[#This Row],[Date]]-DAY(Table6[[#This Row],[Date]])+1</f>
        <v>45748</v>
      </c>
      <c r="F106" s="134">
        <v>45748</v>
      </c>
      <c r="G106" s="121" t="s">
        <v>129</v>
      </c>
      <c r="H106" s="39" t="str">
        <f>_xlfn.XLOOKUP(Table6[[#This Row],[Affected WTG]],'Basic Data'!$A:$A,'Basic Data'!$B:$B)</f>
        <v>PWEGPL</v>
      </c>
      <c r="I106" s="39" t="str">
        <f>_xlfn.XLOOKUP(Table6[[#This Row],[Affected WTG]],'Basic Data'!$A:$A,'Basic Data'!$C:$C)</f>
        <v>MSEDCL</v>
      </c>
      <c r="J106" s="363">
        <f>IFERROR(VLOOKUP(Table6[[#This Row],[Affected WTG]],'Basic Data'!$A$3:$E$56,5,0),"")</f>
        <v>2.564102564102564E-2</v>
      </c>
      <c r="K106" s="121">
        <v>5210</v>
      </c>
      <c r="L106" s="39" t="str">
        <f>IFERROR(VLOOKUP(Table6[[#This Row],[Error Code]],'Basic Data'!$T:$U,2,0),"")</f>
        <v>Failure Of The Contactor's Rotor Power</v>
      </c>
      <c r="M106" s="364" t="s">
        <v>462</v>
      </c>
      <c r="O106" s="365">
        <v>0.94097222222222221</v>
      </c>
      <c r="P106" s="365">
        <v>0.94097222222222221</v>
      </c>
      <c r="Q106" s="365">
        <v>0.97083333333333333</v>
      </c>
      <c r="R106" s="366">
        <f>IF(Table6[[#This Row],[Work Start TimeStamp]]="","",(Table6[[#This Row],[Work Start TimeStamp]]-Table6[[#This Row],[Fault Start TimeStamp]])*24)</f>
        <v>0</v>
      </c>
      <c r="S106" s="367">
        <f>(Table6[[#This Row],[Fault Clearance time]]-Table6[[#This Row],[Work Start TimeStamp]])*24</f>
        <v>0.71666666666666679</v>
      </c>
      <c r="T106" s="368">
        <f>(Table6[[#This Row],[Fault Clearance time]]-Table6[[#This Row],[Fault Start TimeStamp]])*24</f>
        <v>0.71666666666666679</v>
      </c>
      <c r="U106" s="364" t="s">
        <v>480</v>
      </c>
      <c r="V106" s="369" t="s">
        <v>463</v>
      </c>
      <c r="W106" s="354">
        <f>Table6[[#This Row],[Breakdown Time]]*(1/39)</f>
        <v>1.837606837606838E-2</v>
      </c>
      <c r="X106" s="352" t="s">
        <v>465</v>
      </c>
      <c r="Y106" s="370" t="s">
        <v>130</v>
      </c>
      <c r="Z106" s="121">
        <v>5316</v>
      </c>
      <c r="AA106" s="123">
        <v>158.7416666666667</v>
      </c>
      <c r="AB106" s="121" t="s">
        <v>478</v>
      </c>
    </row>
    <row r="107" spans="1:28">
      <c r="A107" s="121">
        <f t="shared" si="1"/>
        <v>106</v>
      </c>
      <c r="B107" s="123">
        <f>YEAR(Table6[[#This Row],[Date]])+IF(MONTH(Table6[[#This Row],[Date]])&gt;=4,1,0)</f>
        <v>2026</v>
      </c>
      <c r="C107" s="121">
        <f>YEAR(Table6[[#This Row],[Date]])</f>
        <v>2025</v>
      </c>
      <c r="D107" s="121" t="s">
        <v>490</v>
      </c>
      <c r="E107" s="135">
        <f>Table6[[#This Row],[Date]]-DAY(Table6[[#This Row],[Date]])+1</f>
        <v>45748</v>
      </c>
      <c r="F107" s="134">
        <v>45748</v>
      </c>
      <c r="G107" s="121" t="s">
        <v>130</v>
      </c>
      <c r="H107" s="39" t="str">
        <f>_xlfn.XLOOKUP(Table6[[#This Row],[Affected WTG]],'Basic Data'!$A:$A,'Basic Data'!$B:$B)</f>
        <v>PWEGPL</v>
      </c>
      <c r="I107" s="39" t="str">
        <f>_xlfn.XLOOKUP(Table6[[#This Row],[Affected WTG]],'Basic Data'!$A:$A,'Basic Data'!$C:$C)</f>
        <v>MSEDCL</v>
      </c>
      <c r="J107" s="363">
        <f>IFERROR(VLOOKUP(Table6[[#This Row],[Affected WTG]],'Basic Data'!$A$3:$E$56,5,0),"")</f>
        <v>2.564102564102564E-2</v>
      </c>
      <c r="K107" s="121">
        <v>812</v>
      </c>
      <c r="L107" s="39" t="str">
        <f>IFERROR(VLOOKUP(Table6[[#This Row],[Error Code]],'Basic Data'!$T:$U,2,0),"")</f>
        <v>Blade Position Meas. Error</v>
      </c>
      <c r="M107" s="364" t="s">
        <v>462</v>
      </c>
      <c r="O107" s="365">
        <v>0.20694444444444443</v>
      </c>
      <c r="P107" s="365">
        <v>0.20694444444444443</v>
      </c>
      <c r="Q107" s="365">
        <v>0.21041666666666667</v>
      </c>
      <c r="R107" s="366">
        <f>IF(Table6[[#This Row],[Work Start TimeStamp]]="","",(Table6[[#This Row],[Work Start TimeStamp]]-Table6[[#This Row],[Fault Start TimeStamp]])*24)</f>
        <v>0</v>
      </c>
      <c r="S107" s="367">
        <f>(Table6[[#This Row],[Fault Clearance time]]-Table6[[#This Row],[Work Start TimeStamp]])*24</f>
        <v>8.3333333333333703E-2</v>
      </c>
      <c r="T107" s="368">
        <f>(Table6[[#This Row],[Fault Clearance time]]-Table6[[#This Row],[Fault Start TimeStamp]])*24</f>
        <v>8.3333333333333703E-2</v>
      </c>
      <c r="U107" s="364" t="s">
        <v>480</v>
      </c>
      <c r="V107" s="369" t="s">
        <v>463</v>
      </c>
      <c r="W107" s="354">
        <f>Table6[[#This Row],[Breakdown Time]]*(1/39)</f>
        <v>2.1367521367521461E-3</v>
      </c>
      <c r="X107" s="352" t="s">
        <v>465</v>
      </c>
      <c r="Y107" s="370" t="s">
        <v>131</v>
      </c>
      <c r="Z107" s="121">
        <v>6766</v>
      </c>
      <c r="AA107" s="123">
        <v>23.49305555555566</v>
      </c>
      <c r="AB107" s="121" t="s">
        <v>478</v>
      </c>
    </row>
    <row r="108" spans="1:28">
      <c r="A108" s="121">
        <f t="shared" si="1"/>
        <v>107</v>
      </c>
      <c r="B108" s="123">
        <f>YEAR(Table6[[#This Row],[Date]])+IF(MONTH(Table6[[#This Row],[Date]])&gt;=4,1,0)</f>
        <v>2026</v>
      </c>
      <c r="C108" s="121">
        <f>YEAR(Table6[[#This Row],[Date]])</f>
        <v>2025</v>
      </c>
      <c r="D108" s="121" t="s">
        <v>490</v>
      </c>
      <c r="E108" s="135">
        <f>Table6[[#This Row],[Date]]-DAY(Table6[[#This Row],[Date]])+1</f>
        <v>45748</v>
      </c>
      <c r="F108" s="134">
        <v>45748</v>
      </c>
      <c r="G108" s="121" t="s">
        <v>130</v>
      </c>
      <c r="H108" s="39" t="str">
        <f>_xlfn.XLOOKUP(Table6[[#This Row],[Affected WTG]],'Basic Data'!$A:$A,'Basic Data'!$B:$B)</f>
        <v>PWEGPL</v>
      </c>
      <c r="I108" s="39" t="str">
        <f>_xlfn.XLOOKUP(Table6[[#This Row],[Affected WTG]],'Basic Data'!$A:$A,'Basic Data'!$C:$C)</f>
        <v>MSEDCL</v>
      </c>
      <c r="J108" s="363">
        <f>IFERROR(VLOOKUP(Table6[[#This Row],[Affected WTG]],'Basic Data'!$A$3:$E$56,5,0),"")</f>
        <v>2.564102564102564E-2</v>
      </c>
      <c r="K108" s="121">
        <v>2118</v>
      </c>
      <c r="L108" s="39" t="str">
        <f>IFERROR(VLOOKUP(Table6[[#This Row],[Error Code]],'Basic Data'!$T:$U,2,0),"")</f>
        <v>Bus Error - Interbus Failure</v>
      </c>
      <c r="M108" s="364" t="s">
        <v>462</v>
      </c>
      <c r="O108" s="365">
        <v>0.9555555555555556</v>
      </c>
      <c r="P108" s="365">
        <v>0.99444444444444446</v>
      </c>
      <c r="Q108" s="365">
        <v>0.99930555555555556</v>
      </c>
      <c r="R108" s="366">
        <f>IF(Table6[[#This Row],[Work Start TimeStamp]]="","",(Table6[[#This Row],[Work Start TimeStamp]]-Table6[[#This Row],[Fault Start TimeStamp]])*24)</f>
        <v>0.93333333333333268</v>
      </c>
      <c r="S108" s="367">
        <f>(Table6[[#This Row],[Fault Clearance time]]-Table6[[#This Row],[Work Start TimeStamp]])*24</f>
        <v>0.11666666666666625</v>
      </c>
      <c r="T108" s="368">
        <f>(Table6[[#This Row],[Fault Clearance time]]-Table6[[#This Row],[Fault Start TimeStamp]])*24</f>
        <v>1.0499999999999989</v>
      </c>
      <c r="U108" s="364" t="s">
        <v>491</v>
      </c>
      <c r="V108" s="369" t="s">
        <v>463</v>
      </c>
      <c r="W108" s="354">
        <f>Table6[[#This Row],[Breakdown Time]]*(1/39)</f>
        <v>2.6923076923076893E-2</v>
      </c>
      <c r="X108" s="352" t="s">
        <v>465</v>
      </c>
      <c r="Y108" s="370" t="s">
        <v>131</v>
      </c>
      <c r="Z108" s="121">
        <v>6766</v>
      </c>
      <c r="AA108" s="123">
        <v>296.0124999999997</v>
      </c>
      <c r="AB108" s="121" t="s">
        <v>478</v>
      </c>
    </row>
    <row r="109" spans="1:28">
      <c r="A109" s="121">
        <f t="shared" si="1"/>
        <v>108</v>
      </c>
      <c r="B109" s="123">
        <f>YEAR(Table6[[#This Row],[Date]])+IF(MONTH(Table6[[#This Row],[Date]])&gt;=4,1,0)</f>
        <v>2026</v>
      </c>
      <c r="C109" s="121">
        <f>YEAR(Table6[[#This Row],[Date]])</f>
        <v>2025</v>
      </c>
      <c r="D109" s="121" t="s">
        <v>490</v>
      </c>
      <c r="E109" s="135">
        <f>Table6[[#This Row],[Date]]-DAY(Table6[[#This Row],[Date]])+1</f>
        <v>45748</v>
      </c>
      <c r="F109" s="134">
        <v>45748</v>
      </c>
      <c r="G109" s="121" t="s">
        <v>131</v>
      </c>
      <c r="H109" s="39" t="str">
        <f>_xlfn.XLOOKUP(Table6[[#This Row],[Affected WTG]],'Basic Data'!$A:$A,'Basic Data'!$B:$B)</f>
        <v>PWEGPL</v>
      </c>
      <c r="I109" s="39" t="str">
        <f>_xlfn.XLOOKUP(Table6[[#This Row],[Affected WTG]],'Basic Data'!$A:$A,'Basic Data'!$C:$C)</f>
        <v>MSEDCL</v>
      </c>
      <c r="J109" s="363">
        <f>IFERROR(VLOOKUP(Table6[[#This Row],[Affected WTG]],'Basic Data'!$A$3:$E$56,5,0),"")</f>
        <v>2.564102564102564E-2</v>
      </c>
      <c r="K109" s="121">
        <v>5201</v>
      </c>
      <c r="L109" s="39" t="str">
        <f>IFERROR(VLOOKUP(Table6[[#This Row],[Error Code]],'Basic Data'!$T:$U,2,0),"")</f>
        <v>Magnetothermic Trigger Of The Stator Protection</v>
      </c>
      <c r="M109" s="364" t="s">
        <v>462</v>
      </c>
      <c r="O109" s="365">
        <v>0.96736111111111112</v>
      </c>
      <c r="P109" s="365">
        <v>0.96736111111111112</v>
      </c>
      <c r="Q109" s="365">
        <v>0.99930555555555556</v>
      </c>
      <c r="R109" s="366">
        <f>IF(Table6[[#This Row],[Work Start TimeStamp]]="","",(Table6[[#This Row],[Work Start TimeStamp]]-Table6[[#This Row],[Fault Start TimeStamp]])*24)</f>
        <v>0</v>
      </c>
      <c r="S109" s="367">
        <f>(Table6[[#This Row],[Fault Clearance time]]-Table6[[#This Row],[Work Start TimeStamp]])*24</f>
        <v>0.76666666666666661</v>
      </c>
      <c r="T109" s="368">
        <f>(Table6[[#This Row],[Fault Clearance time]]-Table6[[#This Row],[Fault Start TimeStamp]])*24</f>
        <v>0.76666666666666661</v>
      </c>
      <c r="U109" s="364" t="s">
        <v>500</v>
      </c>
      <c r="V109" s="369" t="s">
        <v>473</v>
      </c>
      <c r="W109" s="354">
        <f>Table6[[#This Row],[Breakdown Time]]*(1/39)</f>
        <v>1.9658119658119654E-2</v>
      </c>
      <c r="X109" s="352" t="s">
        <v>465</v>
      </c>
      <c r="Y109" s="370" t="s">
        <v>130</v>
      </c>
      <c r="Z109" s="121">
        <v>5316</v>
      </c>
      <c r="AA109" s="123">
        <v>169.81666666666666</v>
      </c>
      <c r="AB109" s="121" t="s">
        <v>478</v>
      </c>
    </row>
    <row r="110" spans="1:28">
      <c r="A110" s="121">
        <f t="shared" si="1"/>
        <v>109</v>
      </c>
      <c r="B110" s="123">
        <f>YEAR(Table6[[#This Row],[Date]])+IF(MONTH(Table6[[#This Row],[Date]])&gt;=4,1,0)</f>
        <v>2026</v>
      </c>
      <c r="C110" s="121">
        <f>YEAR(Table6[[#This Row],[Date]])</f>
        <v>2025</v>
      </c>
      <c r="D110" s="121" t="s">
        <v>490</v>
      </c>
      <c r="E110" s="135">
        <f>Table6[[#This Row],[Date]]-DAY(Table6[[#This Row],[Date]])+1</f>
        <v>45748</v>
      </c>
      <c r="F110" s="134">
        <v>45748</v>
      </c>
      <c r="G110" s="121" t="s">
        <v>132</v>
      </c>
      <c r="H110" s="39" t="str">
        <f>_xlfn.XLOOKUP(Table6[[#This Row],[Affected WTG]],'Basic Data'!$A:$A,'Basic Data'!$B:$B)</f>
        <v>PWEGPL</v>
      </c>
      <c r="I110" s="39" t="str">
        <f>_xlfn.XLOOKUP(Table6[[#This Row],[Affected WTG]],'Basic Data'!$A:$A,'Basic Data'!$C:$C)</f>
        <v>MSEDCL</v>
      </c>
      <c r="J110" s="363">
        <f>IFERROR(VLOOKUP(Table6[[#This Row],[Affected WTG]],'Basic Data'!$A$3:$E$56,5,0),"")</f>
        <v>2.564102564102564E-2</v>
      </c>
      <c r="K110" s="121">
        <v>812</v>
      </c>
      <c r="L110" s="39" t="str">
        <f>IFERROR(VLOOKUP(Table6[[#This Row],[Error Code]],'Basic Data'!$T:$U,2,0),"")</f>
        <v>Blade Position Meas. Error</v>
      </c>
      <c r="M110" s="364" t="s">
        <v>462</v>
      </c>
      <c r="O110" s="365">
        <v>0.93263888888888891</v>
      </c>
      <c r="P110" s="365">
        <v>0.93263888888888891</v>
      </c>
      <c r="Q110" s="365">
        <v>0.99930555555555556</v>
      </c>
      <c r="R110" s="366">
        <f>IF(Table6[[#This Row],[Work Start TimeStamp]]="","",(Table6[[#This Row],[Work Start TimeStamp]]-Table6[[#This Row],[Fault Start TimeStamp]])*24)</f>
        <v>0</v>
      </c>
      <c r="S110" s="367">
        <f>(Table6[[#This Row],[Fault Clearance time]]-Table6[[#This Row],[Work Start TimeStamp]])*24</f>
        <v>1.5999999999999996</v>
      </c>
      <c r="T110" s="368">
        <f>(Table6[[#This Row],[Fault Clearance time]]-Table6[[#This Row],[Fault Start TimeStamp]])*24</f>
        <v>1.5999999999999996</v>
      </c>
      <c r="U110" s="364" t="s">
        <v>480</v>
      </c>
      <c r="V110" s="369" t="s">
        <v>463</v>
      </c>
      <c r="W110" s="354">
        <f>Table6[[#This Row],[Breakdown Time]]*(1/39)</f>
        <v>4.1025641025641012E-2</v>
      </c>
      <c r="X110" s="352" t="s">
        <v>465</v>
      </c>
      <c r="Y110" s="370" t="s">
        <v>133</v>
      </c>
      <c r="Z110" s="121">
        <v>6788</v>
      </c>
      <c r="AA110" s="123">
        <v>452.53333333333319</v>
      </c>
      <c r="AB110" s="121" t="s">
        <v>478</v>
      </c>
    </row>
    <row r="111" spans="1:28">
      <c r="A111" s="121">
        <f t="shared" si="1"/>
        <v>110</v>
      </c>
      <c r="B111" s="123">
        <f>YEAR(Table6[[#This Row],[Date]])+IF(MONTH(Table6[[#This Row],[Date]])&gt;=4,1,0)</f>
        <v>2026</v>
      </c>
      <c r="C111" s="121">
        <f>YEAR(Table6[[#This Row],[Date]])</f>
        <v>2025</v>
      </c>
      <c r="D111" s="121" t="s">
        <v>490</v>
      </c>
      <c r="E111" s="135">
        <f>Table6[[#This Row],[Date]]-DAY(Table6[[#This Row],[Date]])+1</f>
        <v>45748</v>
      </c>
      <c r="F111" s="134">
        <v>45748</v>
      </c>
      <c r="G111" s="121" t="s">
        <v>133</v>
      </c>
      <c r="H111" s="39" t="str">
        <f>_xlfn.XLOOKUP(Table6[[#This Row],[Affected WTG]],'Basic Data'!$A:$A,'Basic Data'!$B:$B)</f>
        <v>PWEGPL</v>
      </c>
      <c r="I111" s="39" t="str">
        <f>_xlfn.XLOOKUP(Table6[[#This Row],[Affected WTG]],'Basic Data'!$A:$A,'Basic Data'!$C:$C)</f>
        <v>MSEDCL</v>
      </c>
      <c r="J111" s="363">
        <f>IFERROR(VLOOKUP(Table6[[#This Row],[Affected WTG]],'Basic Data'!$A$3:$E$56,5,0),"")</f>
        <v>2.564102564102564E-2</v>
      </c>
      <c r="K111" s="121">
        <v>5216</v>
      </c>
      <c r="L111" s="39" t="str">
        <f>IFERROR(VLOOKUP(Table6[[#This Row],[Error Code]],'Basic Data'!$T:$U,2,0),"")</f>
        <v>Grid Voltage Failure</v>
      </c>
      <c r="M111" s="364" t="s">
        <v>462</v>
      </c>
      <c r="O111" s="365">
        <v>0.96597222222222223</v>
      </c>
      <c r="P111" s="365">
        <v>0.96597222222222223</v>
      </c>
      <c r="Q111" s="365">
        <v>0.99930555555555556</v>
      </c>
      <c r="R111" s="366">
        <f>IF(Table6[[#This Row],[Work Start TimeStamp]]="","",(Table6[[#This Row],[Work Start TimeStamp]]-Table6[[#This Row],[Fault Start TimeStamp]])*24)</f>
        <v>0</v>
      </c>
      <c r="S111" s="367">
        <f>(Table6[[#This Row],[Fault Clearance time]]-Table6[[#This Row],[Work Start TimeStamp]])*24</f>
        <v>0.79999999999999982</v>
      </c>
      <c r="T111" s="368">
        <f>(Table6[[#This Row],[Fault Clearance time]]-Table6[[#This Row],[Fault Start TimeStamp]])*24</f>
        <v>0.79999999999999982</v>
      </c>
      <c r="U111" s="364" t="s">
        <v>500</v>
      </c>
      <c r="V111" s="369" t="s">
        <v>473</v>
      </c>
      <c r="W111" s="354">
        <f>Table6[[#This Row],[Breakdown Time]]*(1/39)</f>
        <v>2.0512820512820506E-2</v>
      </c>
      <c r="X111" s="352" t="s">
        <v>465</v>
      </c>
      <c r="Y111" s="370" t="s">
        <v>132</v>
      </c>
      <c r="Z111" s="121">
        <v>6572</v>
      </c>
      <c r="AA111" s="123">
        <v>219.06666666666661</v>
      </c>
      <c r="AB111" s="121" t="s">
        <v>478</v>
      </c>
    </row>
    <row r="112" spans="1:28">
      <c r="A112" s="121">
        <f t="shared" si="1"/>
        <v>111</v>
      </c>
      <c r="B112" s="123">
        <f>YEAR(Table6[[#This Row],[Date]])+IF(MONTH(Table6[[#This Row],[Date]])&gt;=4,1,0)</f>
        <v>2026</v>
      </c>
      <c r="C112" s="121">
        <f>YEAR(Table6[[#This Row],[Date]])</f>
        <v>2025</v>
      </c>
      <c r="D112" s="121" t="s">
        <v>490</v>
      </c>
      <c r="E112" s="135">
        <f>Table6[[#This Row],[Date]]-DAY(Table6[[#This Row],[Date]])+1</f>
        <v>45748</v>
      </c>
      <c r="F112" s="134">
        <v>45748</v>
      </c>
      <c r="G112" s="121" t="s">
        <v>134</v>
      </c>
      <c r="H112" s="39" t="str">
        <f>_xlfn.XLOOKUP(Table6[[#This Row],[Affected WTG]],'Basic Data'!$A:$A,'Basic Data'!$B:$B)</f>
        <v>PWEGPL</v>
      </c>
      <c r="I112" s="39" t="str">
        <f>_xlfn.XLOOKUP(Table6[[#This Row],[Affected WTG]],'Basic Data'!$A:$A,'Basic Data'!$C:$C)</f>
        <v>MSEDCL</v>
      </c>
      <c r="J112" s="363">
        <f>IFERROR(VLOOKUP(Table6[[#This Row],[Affected WTG]],'Basic Data'!$A$3:$E$56,5,0),"")</f>
        <v>2.564102564102564E-2</v>
      </c>
      <c r="K112" s="121">
        <v>5200</v>
      </c>
      <c r="L112" s="39" t="str">
        <f>IFERROR(VLOOKUP(Table6[[#This Row],[Error Code]],'Basic Data'!$T:$U,2,0),"")</f>
        <v>Magnetothermic Trigger Of The Line Protection</v>
      </c>
      <c r="M112" s="364" t="s">
        <v>462</v>
      </c>
      <c r="O112" s="365">
        <v>0.9604166666666667</v>
      </c>
      <c r="P112" s="365">
        <v>0.96875</v>
      </c>
      <c r="Q112" s="365">
        <v>0.99930555555555556</v>
      </c>
      <c r="R112" s="366">
        <f>IF(Table6[[#This Row],[Work Start TimeStamp]]="","",(Table6[[#This Row],[Work Start TimeStamp]]-Table6[[#This Row],[Fault Start TimeStamp]])*24)</f>
        <v>0.19999999999999929</v>
      </c>
      <c r="S112" s="367">
        <f>(Table6[[#This Row],[Fault Clearance time]]-Table6[[#This Row],[Work Start TimeStamp]])*24</f>
        <v>0.73333333333333339</v>
      </c>
      <c r="T112" s="368">
        <f>(Table6[[#This Row],[Fault Clearance time]]-Table6[[#This Row],[Fault Start TimeStamp]])*24</f>
        <v>0.93333333333333268</v>
      </c>
      <c r="U112" s="364" t="s">
        <v>500</v>
      </c>
      <c r="V112" s="369" t="s">
        <v>473</v>
      </c>
      <c r="W112" s="354">
        <f>Table6[[#This Row],[Breakdown Time]]*(1/39)</f>
        <v>2.3931623931623913E-2</v>
      </c>
      <c r="X112" s="352" t="s">
        <v>465</v>
      </c>
      <c r="Y112" s="370" t="s">
        <v>133</v>
      </c>
      <c r="Z112" s="121">
        <v>6788</v>
      </c>
      <c r="AA112" s="123">
        <v>263.97777777777759</v>
      </c>
      <c r="AB112" s="121" t="s">
        <v>478</v>
      </c>
    </row>
    <row r="113" spans="1:28">
      <c r="A113" s="121">
        <f t="shared" si="1"/>
        <v>112</v>
      </c>
      <c r="B113" s="123">
        <f>YEAR(Table6[[#This Row],[Date]])+IF(MONTH(Table6[[#This Row],[Date]])&gt;=4,1,0)</f>
        <v>2026</v>
      </c>
      <c r="C113" s="121">
        <f>YEAR(Table6[[#This Row],[Date]])</f>
        <v>2025</v>
      </c>
      <c r="D113" s="121" t="s">
        <v>490</v>
      </c>
      <c r="E113" s="135">
        <f>Table6[[#This Row],[Date]]-DAY(Table6[[#This Row],[Date]])+1</f>
        <v>45748</v>
      </c>
      <c r="F113" s="134">
        <v>45748</v>
      </c>
      <c r="G113" s="121" t="s">
        <v>136</v>
      </c>
      <c r="H113" s="39" t="str">
        <f>_xlfn.XLOOKUP(Table6[[#This Row],[Affected WTG]],'Basic Data'!$A:$A,'Basic Data'!$B:$B)</f>
        <v>PWEGPL</v>
      </c>
      <c r="I113" s="39" t="str">
        <f>_xlfn.XLOOKUP(Table6[[#This Row],[Affected WTG]],'Basic Data'!$A:$A,'Basic Data'!$C:$C)</f>
        <v>MSEDCL</v>
      </c>
      <c r="J113" s="363">
        <f>IFERROR(VLOOKUP(Table6[[#This Row],[Affected WTG]],'Basic Data'!$A$3:$E$56,5,0),"")</f>
        <v>2.564102564102564E-2</v>
      </c>
      <c r="K113" s="121">
        <v>5210</v>
      </c>
      <c r="L113" s="39" t="str">
        <f>IFERROR(VLOOKUP(Table6[[#This Row],[Error Code]],'Basic Data'!$T:$U,2,0),"")</f>
        <v>Failure Of The Contactor's Rotor Power</v>
      </c>
      <c r="M113" s="364" t="s">
        <v>462</v>
      </c>
      <c r="O113" s="365">
        <v>0.94097222222222221</v>
      </c>
      <c r="P113" s="365">
        <v>0.96597222222222223</v>
      </c>
      <c r="Q113" s="365">
        <v>0.99930555555555556</v>
      </c>
      <c r="R113" s="366">
        <f>IF(Table6[[#This Row],[Work Start TimeStamp]]="","",(Table6[[#This Row],[Work Start TimeStamp]]-Table6[[#This Row],[Fault Start TimeStamp]])*24)</f>
        <v>0.60000000000000053</v>
      </c>
      <c r="S113" s="367">
        <f>(Table6[[#This Row],[Fault Clearance time]]-Table6[[#This Row],[Work Start TimeStamp]])*24</f>
        <v>0.79999999999999982</v>
      </c>
      <c r="T113" s="368">
        <f>(Table6[[#This Row],[Fault Clearance time]]-Table6[[#This Row],[Fault Start TimeStamp]])*24</f>
        <v>1.4000000000000004</v>
      </c>
      <c r="U113" s="364" t="s">
        <v>500</v>
      </c>
      <c r="V113" s="369" t="s">
        <v>463</v>
      </c>
      <c r="W113" s="354">
        <f>Table6[[#This Row],[Breakdown Time]]*(1/39)</f>
        <v>3.5897435897435909E-2</v>
      </c>
      <c r="X113" s="352" t="s">
        <v>465</v>
      </c>
      <c r="Y113" s="370" t="s">
        <v>119</v>
      </c>
      <c r="Z113" s="121">
        <v>4726</v>
      </c>
      <c r="AA113" s="123">
        <v>275.68333333333339</v>
      </c>
      <c r="AB113" s="121" t="s">
        <v>478</v>
      </c>
    </row>
    <row r="114" spans="1:28">
      <c r="A114" s="121">
        <f t="shared" si="1"/>
        <v>113</v>
      </c>
      <c r="B114" s="123">
        <f>YEAR(Table6[[#This Row],[Date]])+IF(MONTH(Table6[[#This Row],[Date]])&gt;=4,1,0)</f>
        <v>2026</v>
      </c>
      <c r="C114" s="121">
        <f>YEAR(Table6[[#This Row],[Date]])</f>
        <v>2025</v>
      </c>
      <c r="D114" s="121" t="s">
        <v>490</v>
      </c>
      <c r="E114" s="135">
        <f>Table6[[#This Row],[Date]]-DAY(Table6[[#This Row],[Date]])+1</f>
        <v>45748</v>
      </c>
      <c r="F114" s="134">
        <v>45748</v>
      </c>
      <c r="G114" s="121" t="s">
        <v>143</v>
      </c>
      <c r="H114" s="39" t="str">
        <f>_xlfn.XLOOKUP(Table6[[#This Row],[Affected WTG]],'Basic Data'!$A:$A,'Basic Data'!$B:$B)</f>
        <v>PWEGPL</v>
      </c>
      <c r="I114" s="39" t="str">
        <f>_xlfn.XLOOKUP(Table6[[#This Row],[Affected WTG]],'Basic Data'!$A:$A,'Basic Data'!$C:$C)</f>
        <v>MSEDCL</v>
      </c>
      <c r="J114" s="363">
        <f>IFERROR(VLOOKUP(Table6[[#This Row],[Affected WTG]],'Basic Data'!$A$3:$E$56,5,0),"")</f>
        <v>2.564102564102564E-2</v>
      </c>
      <c r="K114" s="121">
        <v>5216</v>
      </c>
      <c r="L114" s="39" t="str">
        <f>IFERROR(VLOOKUP(Table6[[#This Row],[Error Code]],'Basic Data'!$T:$U,2,0),"")</f>
        <v>Grid Voltage Failure</v>
      </c>
      <c r="M114" s="364" t="s">
        <v>462</v>
      </c>
      <c r="O114" s="365">
        <v>0</v>
      </c>
      <c r="P114" s="365">
        <v>0.10347222222222222</v>
      </c>
      <c r="Q114" s="365">
        <v>0.5805555555555556</v>
      </c>
      <c r="R114" s="366">
        <f>IF(Table6[[#This Row],[Work Start TimeStamp]]="","",(Table6[[#This Row],[Work Start TimeStamp]]-Table6[[#This Row],[Fault Start TimeStamp]])*24)</f>
        <v>2.4833333333333334</v>
      </c>
      <c r="S114" s="367">
        <f>(Table6[[#This Row],[Fault Clearance time]]-Table6[[#This Row],[Work Start TimeStamp]])*24</f>
        <v>11.450000000000003</v>
      </c>
      <c r="T114" s="368">
        <f>(Table6[[#This Row],[Fault Clearance time]]-Table6[[#This Row],[Fault Start TimeStamp]])*24</f>
        <v>13.933333333333334</v>
      </c>
      <c r="U114" s="364" t="s">
        <v>521</v>
      </c>
      <c r="V114" s="369" t="s">
        <v>463</v>
      </c>
      <c r="W114" s="354">
        <f>Table6[[#This Row],[Breakdown Time]]*(1/39)</f>
        <v>0.35726495726495727</v>
      </c>
      <c r="X114" s="352" t="s">
        <v>465</v>
      </c>
      <c r="Y114" s="370" t="s">
        <v>141</v>
      </c>
      <c r="Z114" s="121">
        <v>6260</v>
      </c>
      <c r="AA114" s="123">
        <v>3634.2777777777774</v>
      </c>
      <c r="AB114" s="121" t="s">
        <v>478</v>
      </c>
    </row>
    <row r="115" spans="1:28">
      <c r="A115" s="121">
        <f t="shared" si="1"/>
        <v>114</v>
      </c>
      <c r="B115" s="123">
        <f>YEAR(Table6[[#This Row],[Date]])+IF(MONTH(Table6[[#This Row],[Date]])&gt;=4,1,0)</f>
        <v>2026</v>
      </c>
      <c r="C115" s="121">
        <f>YEAR(Table6[[#This Row],[Date]])</f>
        <v>2025</v>
      </c>
      <c r="D115" s="121" t="s">
        <v>490</v>
      </c>
      <c r="E115" s="135">
        <f>Table6[[#This Row],[Date]]-DAY(Table6[[#This Row],[Date]])+1</f>
        <v>45748</v>
      </c>
      <c r="F115" s="134">
        <v>45748</v>
      </c>
      <c r="G115" s="121" t="s">
        <v>145</v>
      </c>
      <c r="H115" s="39" t="str">
        <f>_xlfn.XLOOKUP(Table6[[#This Row],[Affected WTG]],'Basic Data'!$A:$A,'Basic Data'!$B:$B)</f>
        <v>PWEGPL</v>
      </c>
      <c r="I115" s="39" t="str">
        <f>_xlfn.XLOOKUP(Table6[[#This Row],[Affected WTG]],'Basic Data'!$A:$A,'Basic Data'!$C:$C)</f>
        <v>MSEDCL</v>
      </c>
      <c r="J115" s="363">
        <f>IFERROR(VLOOKUP(Table6[[#This Row],[Affected WTG]],'Basic Data'!$A$3:$E$56,5,0),"")</f>
        <v>2.564102564102564E-2</v>
      </c>
      <c r="K115" s="121">
        <v>2118</v>
      </c>
      <c r="L115" s="39" t="str">
        <f>IFERROR(VLOOKUP(Table6[[#This Row],[Error Code]],'Basic Data'!$T:$U,2,0),"")</f>
        <v>Bus Error - Interbus Failure</v>
      </c>
      <c r="M115" s="364" t="s">
        <v>462</v>
      </c>
      <c r="O115" s="365">
        <v>0.19236111111111112</v>
      </c>
      <c r="P115" s="365">
        <v>0.19236111111111112</v>
      </c>
      <c r="Q115" s="365">
        <v>0.21527777777777779</v>
      </c>
      <c r="R115" s="366">
        <f>IF(Table6[[#This Row],[Work Start TimeStamp]]="","",(Table6[[#This Row],[Work Start TimeStamp]]-Table6[[#This Row],[Fault Start TimeStamp]])*24)</f>
        <v>0</v>
      </c>
      <c r="S115" s="367">
        <f>(Table6[[#This Row],[Fault Clearance time]]-Table6[[#This Row],[Work Start TimeStamp]])*24</f>
        <v>0.55000000000000004</v>
      </c>
      <c r="T115" s="368">
        <f>(Table6[[#This Row],[Fault Clearance time]]-Table6[[#This Row],[Fault Start TimeStamp]])*24</f>
        <v>0.55000000000000004</v>
      </c>
      <c r="U115" s="364" t="s">
        <v>491</v>
      </c>
      <c r="V115" s="369" t="s">
        <v>463</v>
      </c>
      <c r="W115" s="354">
        <f>Table6[[#This Row],[Breakdown Time]]*(1/39)</f>
        <v>1.4102564102564103E-2</v>
      </c>
      <c r="X115" s="352" t="s">
        <v>465</v>
      </c>
      <c r="Y115" s="370" t="s">
        <v>139</v>
      </c>
      <c r="Z115" s="121">
        <v>5834</v>
      </c>
      <c r="AA115" s="123">
        <v>133.69583333333335</v>
      </c>
      <c r="AB115" s="121" t="s">
        <v>478</v>
      </c>
    </row>
    <row r="116" spans="1:28">
      <c r="A116" s="121">
        <f t="shared" si="1"/>
        <v>115</v>
      </c>
      <c r="B116" s="123">
        <f>YEAR(Table6[[#This Row],[Date]])+IF(MONTH(Table6[[#This Row],[Date]])&gt;=4,1,0)</f>
        <v>2026</v>
      </c>
      <c r="C116" s="121">
        <f>YEAR(Table6[[#This Row],[Date]])</f>
        <v>2025</v>
      </c>
      <c r="D116" s="121" t="s">
        <v>490</v>
      </c>
      <c r="E116" s="135">
        <f>Table6[[#This Row],[Date]]-DAY(Table6[[#This Row],[Date]])+1</f>
        <v>45748</v>
      </c>
      <c r="F116" s="134">
        <v>45748</v>
      </c>
      <c r="G116" s="121" t="s">
        <v>145</v>
      </c>
      <c r="H116" s="39" t="str">
        <f>_xlfn.XLOOKUP(Table6[[#This Row],[Affected WTG]],'Basic Data'!$A:$A,'Basic Data'!$B:$B)</f>
        <v>PWEGPL</v>
      </c>
      <c r="I116" s="39" t="str">
        <f>_xlfn.XLOOKUP(Table6[[#This Row],[Affected WTG]],'Basic Data'!$A:$A,'Basic Data'!$C:$C)</f>
        <v>MSEDCL</v>
      </c>
      <c r="J116" s="363">
        <f>IFERROR(VLOOKUP(Table6[[#This Row],[Affected WTG]],'Basic Data'!$A$3:$E$56,5,0),"")</f>
        <v>2.564102564102564E-2</v>
      </c>
      <c r="K116" s="121">
        <v>700</v>
      </c>
      <c r="L116" s="39" t="str">
        <f>IFERROR(VLOOKUP(Table6[[#This Row],[Error Code]],'Basic Data'!$T:$U,2,0),"")</f>
        <v>PLC-Converter Communication Error</v>
      </c>
      <c r="M116" s="364" t="s">
        <v>462</v>
      </c>
      <c r="O116" s="365">
        <v>0.55902777777777779</v>
      </c>
      <c r="P116" s="365">
        <v>0.65069444444444446</v>
      </c>
      <c r="Q116" s="365">
        <v>0.65555555555555556</v>
      </c>
      <c r="R116" s="366">
        <f>IF(Table6[[#This Row],[Work Start TimeStamp]]="","",(Table6[[#This Row],[Work Start TimeStamp]]-Table6[[#This Row],[Fault Start TimeStamp]])*24)</f>
        <v>2.2000000000000002</v>
      </c>
      <c r="S116" s="367">
        <f>(Table6[[#This Row],[Fault Clearance time]]-Table6[[#This Row],[Work Start TimeStamp]])*24</f>
        <v>0.11666666666666625</v>
      </c>
      <c r="T116" s="368">
        <f>(Table6[[#This Row],[Fault Clearance time]]-Table6[[#This Row],[Fault Start TimeStamp]])*24</f>
        <v>2.3166666666666664</v>
      </c>
      <c r="U116" s="364" t="s">
        <v>491</v>
      </c>
      <c r="V116" s="369" t="s">
        <v>463</v>
      </c>
      <c r="W116" s="354">
        <f>Table6[[#This Row],[Breakdown Time]]*(1/39)</f>
        <v>5.9401709401709392E-2</v>
      </c>
      <c r="X116" s="352" t="s">
        <v>465</v>
      </c>
      <c r="Y116" s="370" t="s">
        <v>139</v>
      </c>
      <c r="Z116" s="121">
        <v>5834</v>
      </c>
      <c r="AA116" s="123">
        <v>563.14305555555552</v>
      </c>
      <c r="AB116" s="121" t="s">
        <v>478</v>
      </c>
    </row>
    <row r="117" spans="1:28">
      <c r="A117" s="121">
        <f t="shared" si="1"/>
        <v>116</v>
      </c>
      <c r="B117" s="123">
        <f>YEAR(Table6[[#This Row],[Date]])+IF(MONTH(Table6[[#This Row],[Date]])&gt;=4,1,0)</f>
        <v>2026</v>
      </c>
      <c r="C117" s="121">
        <f>YEAR(Table6[[#This Row],[Date]])</f>
        <v>2025</v>
      </c>
      <c r="D117" s="121" t="s">
        <v>490</v>
      </c>
      <c r="E117" s="135">
        <f>Table6[[#This Row],[Date]]-DAY(Table6[[#This Row],[Date]])+1</f>
        <v>45748</v>
      </c>
      <c r="F117" s="134">
        <v>45748</v>
      </c>
      <c r="G117" s="121" t="s">
        <v>145</v>
      </c>
      <c r="H117" s="39" t="str">
        <f>_xlfn.XLOOKUP(Table6[[#This Row],[Affected WTG]],'Basic Data'!$A:$A,'Basic Data'!$B:$B)</f>
        <v>PWEGPL</v>
      </c>
      <c r="I117" s="39" t="str">
        <f>_xlfn.XLOOKUP(Table6[[#This Row],[Affected WTG]],'Basic Data'!$A:$A,'Basic Data'!$C:$C)</f>
        <v>MSEDCL</v>
      </c>
      <c r="J117" s="363">
        <f>IFERROR(VLOOKUP(Table6[[#This Row],[Affected WTG]],'Basic Data'!$A$3:$E$56,5,0),"")</f>
        <v>2.564102564102564E-2</v>
      </c>
      <c r="K117" s="121">
        <v>5201</v>
      </c>
      <c r="L117" s="39" t="str">
        <f>IFERROR(VLOOKUP(Table6[[#This Row],[Error Code]],'Basic Data'!$T:$U,2,0),"")</f>
        <v>Magnetothermic Trigger Of The Stator Protection</v>
      </c>
      <c r="M117" s="364" t="s">
        <v>462</v>
      </c>
      <c r="O117" s="365">
        <v>0.96111111111111114</v>
      </c>
      <c r="P117" s="365">
        <v>0.96111111111111114</v>
      </c>
      <c r="Q117" s="365">
        <v>0.99930555555555556</v>
      </c>
      <c r="R117" s="366">
        <f>IF(Table6[[#This Row],[Work Start TimeStamp]]="","",(Table6[[#This Row],[Work Start TimeStamp]]-Table6[[#This Row],[Fault Start TimeStamp]])*24)</f>
        <v>0</v>
      </c>
      <c r="S117" s="367">
        <f>(Table6[[#This Row],[Fault Clearance time]]-Table6[[#This Row],[Work Start TimeStamp]])*24</f>
        <v>0.91666666666666607</v>
      </c>
      <c r="T117" s="368">
        <f>(Table6[[#This Row],[Fault Clearance time]]-Table6[[#This Row],[Fault Start TimeStamp]])*24</f>
        <v>0.91666666666666607</v>
      </c>
      <c r="U117" s="364" t="s">
        <v>500</v>
      </c>
      <c r="V117" s="369" t="s">
        <v>463</v>
      </c>
      <c r="W117" s="354">
        <f>Table6[[#This Row],[Breakdown Time]]*(1/39)</f>
        <v>2.3504273504273487E-2</v>
      </c>
      <c r="X117" s="352" t="s">
        <v>465</v>
      </c>
      <c r="Y117" s="370" t="s">
        <v>139</v>
      </c>
      <c r="Z117" s="121">
        <v>5834</v>
      </c>
      <c r="AA117" s="123">
        <v>222.82638888888874</v>
      </c>
      <c r="AB117" s="121" t="s">
        <v>478</v>
      </c>
    </row>
    <row r="118" spans="1:28">
      <c r="A118" s="121">
        <f t="shared" si="1"/>
        <v>117</v>
      </c>
      <c r="B118" s="123">
        <f>YEAR(Table6[[#This Row],[Date]])+IF(MONTH(Table6[[#This Row],[Date]])&gt;=4,1,0)</f>
        <v>2026</v>
      </c>
      <c r="C118" s="121">
        <f>YEAR(Table6[[#This Row],[Date]])</f>
        <v>2025</v>
      </c>
      <c r="D118" s="121" t="s">
        <v>490</v>
      </c>
      <c r="E118" s="135">
        <f>Table6[[#This Row],[Date]]-DAY(Table6[[#This Row],[Date]])+1</f>
        <v>45748</v>
      </c>
      <c r="F118" s="134">
        <v>45748</v>
      </c>
      <c r="G118" s="121" t="s">
        <v>146</v>
      </c>
      <c r="H118" s="39" t="str">
        <f>_xlfn.XLOOKUP(Table6[[#This Row],[Affected WTG]],'Basic Data'!$A:$A,'Basic Data'!$B:$B)</f>
        <v>PWEGPL</v>
      </c>
      <c r="I118" s="39" t="str">
        <f>_xlfn.XLOOKUP(Table6[[#This Row],[Affected WTG]],'Basic Data'!$A:$A,'Basic Data'!$C:$C)</f>
        <v>MSEDCL</v>
      </c>
      <c r="J118" s="363">
        <f>IFERROR(VLOOKUP(Table6[[#This Row],[Affected WTG]],'Basic Data'!$A$3:$E$56,5,0),"")</f>
        <v>2.564102564102564E-2</v>
      </c>
      <c r="K118" s="121">
        <v>907</v>
      </c>
      <c r="L118" s="39" t="str">
        <f>IFERROR(VLOOKUP(Table6[[#This Row],[Error Code]],'Basic Data'!$T:$U,2,0),"")</f>
        <v>Emergency Series HUB Trigger</v>
      </c>
      <c r="M118" s="364" t="s">
        <v>462</v>
      </c>
      <c r="O118" s="365">
        <v>0.97291666666666665</v>
      </c>
      <c r="P118" s="365">
        <v>0.97291666666666665</v>
      </c>
      <c r="Q118" s="365">
        <v>0.97638888888888886</v>
      </c>
      <c r="R118" s="366">
        <f>IF(Table6[[#This Row],[Work Start TimeStamp]]="","",(Table6[[#This Row],[Work Start TimeStamp]]-Table6[[#This Row],[Fault Start TimeStamp]])*24)</f>
        <v>0</v>
      </c>
      <c r="S118" s="367">
        <f>(Table6[[#This Row],[Fault Clearance time]]-Table6[[#This Row],[Work Start TimeStamp]])*24</f>
        <v>8.3333333333333037E-2</v>
      </c>
      <c r="T118" s="368">
        <f>(Table6[[#This Row],[Fault Clearance time]]-Table6[[#This Row],[Fault Start TimeStamp]])*24</f>
        <v>8.3333333333333037E-2</v>
      </c>
      <c r="U118" s="364" t="s">
        <v>480</v>
      </c>
      <c r="V118" s="369" t="s">
        <v>463</v>
      </c>
      <c r="W118" s="354">
        <f>Table6[[#This Row],[Breakdown Time]]*(1/39)</f>
        <v>2.1367521367521292E-3</v>
      </c>
      <c r="X118" s="352" t="s">
        <v>465</v>
      </c>
      <c r="Y118" s="370" t="s">
        <v>147</v>
      </c>
      <c r="Z118" s="121">
        <v>7280</v>
      </c>
      <c r="AA118" s="123">
        <v>25.277777777777686</v>
      </c>
      <c r="AB118" s="121" t="s">
        <v>478</v>
      </c>
    </row>
    <row r="119" spans="1:28">
      <c r="A119" s="121">
        <f t="shared" si="1"/>
        <v>118</v>
      </c>
      <c r="B119" s="123">
        <f>YEAR(Table6[[#This Row],[Date]])+IF(MONTH(Table6[[#This Row],[Date]])&gt;=4,1,0)</f>
        <v>2026</v>
      </c>
      <c r="C119" s="121">
        <f>YEAR(Table6[[#This Row],[Date]])</f>
        <v>2025</v>
      </c>
      <c r="D119" s="121" t="s">
        <v>490</v>
      </c>
      <c r="E119" s="135">
        <f>Table6[[#This Row],[Date]]-DAY(Table6[[#This Row],[Date]])+1</f>
        <v>45748</v>
      </c>
      <c r="F119" s="134">
        <v>45748</v>
      </c>
      <c r="G119" s="121" t="s">
        <v>148</v>
      </c>
      <c r="H119" s="39" t="str">
        <f>_xlfn.XLOOKUP(Table6[[#This Row],[Affected WTG]],'Basic Data'!$A:$A,'Basic Data'!$B:$B)</f>
        <v>PWEGPL</v>
      </c>
      <c r="I119" s="39" t="str">
        <f>_xlfn.XLOOKUP(Table6[[#This Row],[Affected WTG]],'Basic Data'!$A:$A,'Basic Data'!$C:$C)</f>
        <v>MSEDCL</v>
      </c>
      <c r="J119" s="363">
        <f>IFERROR(VLOOKUP(Table6[[#This Row],[Affected WTG]],'Basic Data'!$A$3:$E$56,5,0),"")</f>
        <v>2.564102564102564E-2</v>
      </c>
      <c r="K119" s="121">
        <v>5201</v>
      </c>
      <c r="L119" s="39" t="str">
        <f>IFERROR(VLOOKUP(Table6[[#This Row],[Error Code]],'Basic Data'!$T:$U,2,0),"")</f>
        <v>Magnetothermic Trigger Of The Stator Protection</v>
      </c>
      <c r="M119" s="364" t="s">
        <v>462</v>
      </c>
      <c r="O119" s="365">
        <v>0</v>
      </c>
      <c r="P119" s="365">
        <v>5.9722222222222225E-2</v>
      </c>
      <c r="Q119" s="365">
        <v>0.13263888888888889</v>
      </c>
      <c r="R119" s="366">
        <f>IF(Table6[[#This Row],[Work Start TimeStamp]]="","",(Table6[[#This Row],[Work Start TimeStamp]]-Table6[[#This Row],[Fault Start TimeStamp]])*24)</f>
        <v>1.4333333333333333</v>
      </c>
      <c r="S119" s="367">
        <f>(Table6[[#This Row],[Fault Clearance time]]-Table6[[#This Row],[Work Start TimeStamp]])*24</f>
        <v>1.7499999999999998</v>
      </c>
      <c r="T119" s="368">
        <f>(Table6[[#This Row],[Fault Clearance time]]-Table6[[#This Row],[Fault Start TimeStamp]])*24</f>
        <v>3.1833333333333336</v>
      </c>
      <c r="U119" s="364" t="s">
        <v>491</v>
      </c>
      <c r="V119" s="369" t="s">
        <v>463</v>
      </c>
      <c r="W119" s="354">
        <f>Table6[[#This Row],[Breakdown Time]]*(1/39)</f>
        <v>8.1623931623931625E-2</v>
      </c>
      <c r="X119" s="352" t="s">
        <v>465</v>
      </c>
      <c r="Y119" s="370" t="s">
        <v>149</v>
      </c>
      <c r="Z119" s="121">
        <v>3390</v>
      </c>
      <c r="AA119" s="123">
        <v>449.64583333333337</v>
      </c>
      <c r="AB119" s="121" t="s">
        <v>478</v>
      </c>
    </row>
    <row r="120" spans="1:28">
      <c r="A120" s="121">
        <f t="shared" si="1"/>
        <v>119</v>
      </c>
      <c r="B120" s="123">
        <f>YEAR(Table6[[#This Row],[Date]])+IF(MONTH(Table6[[#This Row],[Date]])&gt;=4,1,0)</f>
        <v>2026</v>
      </c>
      <c r="C120" s="121">
        <f>YEAR(Table6[[#This Row],[Date]])</f>
        <v>2025</v>
      </c>
      <c r="D120" s="121" t="s">
        <v>490</v>
      </c>
      <c r="E120" s="135">
        <f>Table6[[#This Row],[Date]]-DAY(Table6[[#This Row],[Date]])+1</f>
        <v>45748</v>
      </c>
      <c r="F120" s="134">
        <v>45748</v>
      </c>
      <c r="G120" s="121" t="s">
        <v>149</v>
      </c>
      <c r="H120" s="39" t="str">
        <f>_xlfn.XLOOKUP(Table6[[#This Row],[Affected WTG]],'Basic Data'!$A:$A,'Basic Data'!$B:$B)</f>
        <v>PWEGPL</v>
      </c>
      <c r="I120" s="39" t="str">
        <f>_xlfn.XLOOKUP(Table6[[#This Row],[Affected WTG]],'Basic Data'!$A:$A,'Basic Data'!$C:$C)</f>
        <v>MSEDCL</v>
      </c>
      <c r="J120" s="363">
        <f>IFERROR(VLOOKUP(Table6[[#This Row],[Affected WTG]],'Basic Data'!$A$3:$E$56,5,0),"")</f>
        <v>2.564102564102564E-2</v>
      </c>
      <c r="K120" s="121">
        <v>812</v>
      </c>
      <c r="L120" s="39" t="str">
        <f>IFERROR(VLOOKUP(Table6[[#This Row],[Error Code]],'Basic Data'!$T:$U,2,0),"")</f>
        <v>Blade Position Meas. Error</v>
      </c>
      <c r="M120" s="364" t="s">
        <v>462</v>
      </c>
      <c r="O120" s="365">
        <v>0</v>
      </c>
      <c r="P120" s="365">
        <v>0.16597222222222222</v>
      </c>
      <c r="Q120" s="365">
        <v>0.66597222222222219</v>
      </c>
      <c r="R120" s="366">
        <f>IF(Table6[[#This Row],[Work Start TimeStamp]]="","",(Table6[[#This Row],[Work Start TimeStamp]]-Table6[[#This Row],[Fault Start TimeStamp]])*24)</f>
        <v>3.9833333333333334</v>
      </c>
      <c r="S120" s="367">
        <f>(Table6[[#This Row],[Fault Clearance time]]-Table6[[#This Row],[Work Start TimeStamp]])*24</f>
        <v>12</v>
      </c>
      <c r="T120" s="368">
        <f>(Table6[[#This Row],[Fault Clearance time]]-Table6[[#This Row],[Fault Start TimeStamp]])*24</f>
        <v>15.983333333333333</v>
      </c>
      <c r="U120" s="364" t="s">
        <v>522</v>
      </c>
      <c r="V120" s="369" t="s">
        <v>463</v>
      </c>
      <c r="W120" s="354">
        <f>Table6[[#This Row],[Breakdown Time]]*(1/39)</f>
        <v>0.40982905982905982</v>
      </c>
      <c r="X120" s="352" t="s">
        <v>465</v>
      </c>
      <c r="Y120" s="370" t="s">
        <v>150</v>
      </c>
      <c r="Z120" s="121">
        <v>7150</v>
      </c>
      <c r="AA120" s="123">
        <v>4761.7013888888887</v>
      </c>
      <c r="AB120" s="121" t="s">
        <v>478</v>
      </c>
    </row>
    <row r="121" spans="1:28">
      <c r="A121" s="121">
        <f t="shared" si="1"/>
        <v>120</v>
      </c>
      <c r="B121" s="123">
        <f>YEAR(Table6[[#This Row],[Date]])+IF(MONTH(Table6[[#This Row],[Date]])&gt;=4,1,0)</f>
        <v>2026</v>
      </c>
      <c r="C121" s="121">
        <f>YEAR(Table6[[#This Row],[Date]])</f>
        <v>2025</v>
      </c>
      <c r="D121" s="121" t="s">
        <v>490</v>
      </c>
      <c r="E121" s="135">
        <f>Table6[[#This Row],[Date]]-DAY(Table6[[#This Row],[Date]])+1</f>
        <v>45748</v>
      </c>
      <c r="F121" s="134">
        <v>45748</v>
      </c>
      <c r="G121" s="121" t="s">
        <v>151</v>
      </c>
      <c r="H121" s="39" t="str">
        <f>_xlfn.XLOOKUP(Table6[[#This Row],[Affected WTG]],'Basic Data'!$A:$A,'Basic Data'!$B:$B)</f>
        <v>PWEGPL</v>
      </c>
      <c r="I121" s="39" t="str">
        <f>_xlfn.XLOOKUP(Table6[[#This Row],[Affected WTG]],'Basic Data'!$A:$A,'Basic Data'!$C:$C)</f>
        <v>MSEDCL</v>
      </c>
      <c r="J121" s="363">
        <f>IFERROR(VLOOKUP(Table6[[#This Row],[Affected WTG]],'Basic Data'!$A$3:$E$56,5,0),"")</f>
        <v>2.564102564102564E-2</v>
      </c>
      <c r="K121" s="121">
        <v>205</v>
      </c>
      <c r="L121" s="39" t="str">
        <f>IFERROR(VLOOKUP(Table6[[#This Row],[Error Code]],'Basic Data'!$T:$U,2,0),"")</f>
        <v>Low Level Hydraulic Group Refrigeration Oil</v>
      </c>
      <c r="M121" s="364" t="s">
        <v>462</v>
      </c>
      <c r="O121" s="365">
        <v>0.19722222222222222</v>
      </c>
      <c r="P121" s="365">
        <v>0.22430555555555556</v>
      </c>
      <c r="Q121" s="365">
        <v>0.22430555555555556</v>
      </c>
      <c r="R121" s="366">
        <f>IF(Table6[[#This Row],[Work Start TimeStamp]]="","",(Table6[[#This Row],[Work Start TimeStamp]]-Table6[[#This Row],[Fault Start TimeStamp]])*24)</f>
        <v>0.65000000000000036</v>
      </c>
      <c r="S121" s="367">
        <f>(Table6[[#This Row],[Fault Clearance time]]-Table6[[#This Row],[Work Start TimeStamp]])*24</f>
        <v>0</v>
      </c>
      <c r="T121" s="368">
        <f>(Table6[[#This Row],[Fault Clearance time]]-Table6[[#This Row],[Fault Start TimeStamp]])*24</f>
        <v>0.65000000000000036</v>
      </c>
      <c r="U121" s="364" t="s">
        <v>493</v>
      </c>
      <c r="V121" s="369" t="s">
        <v>463</v>
      </c>
      <c r="W121" s="354">
        <f>Table6[[#This Row],[Breakdown Time]]*(1/39)</f>
        <v>1.6666666666666677E-2</v>
      </c>
      <c r="X121" s="352" t="s">
        <v>465</v>
      </c>
      <c r="Y121" s="370" t="s">
        <v>152</v>
      </c>
      <c r="Z121" s="121">
        <v>6772</v>
      </c>
      <c r="AA121" s="123">
        <v>183.40833333333345</v>
      </c>
      <c r="AB121" s="121" t="s">
        <v>478</v>
      </c>
    </row>
    <row r="122" spans="1:28">
      <c r="A122" s="121">
        <f t="shared" si="1"/>
        <v>121</v>
      </c>
      <c r="B122" s="123">
        <f>YEAR(Table6[[#This Row],[Date]])+IF(MONTH(Table6[[#This Row],[Date]])&gt;=4,1,0)</f>
        <v>2026</v>
      </c>
      <c r="C122" s="121">
        <f>YEAR(Table6[[#This Row],[Date]])</f>
        <v>2025</v>
      </c>
      <c r="D122" s="121" t="s">
        <v>490</v>
      </c>
      <c r="E122" s="135">
        <f>Table6[[#This Row],[Date]]-DAY(Table6[[#This Row],[Date]])+1</f>
        <v>45748</v>
      </c>
      <c r="F122" s="134">
        <v>45748</v>
      </c>
      <c r="G122" s="121" t="s">
        <v>151</v>
      </c>
      <c r="H122" s="39" t="str">
        <f>_xlfn.XLOOKUP(Table6[[#This Row],[Affected WTG]],'Basic Data'!$A:$A,'Basic Data'!$B:$B)</f>
        <v>PWEGPL</v>
      </c>
      <c r="I122" s="39" t="str">
        <f>_xlfn.XLOOKUP(Table6[[#This Row],[Affected WTG]],'Basic Data'!$A:$A,'Basic Data'!$C:$C)</f>
        <v>MSEDCL</v>
      </c>
      <c r="J122" s="363">
        <f>IFERROR(VLOOKUP(Table6[[#This Row],[Affected WTG]],'Basic Data'!$A$3:$E$56,5,0),"")</f>
        <v>2.564102564102564E-2</v>
      </c>
      <c r="K122" s="121">
        <v>205</v>
      </c>
      <c r="L122" s="39" t="str">
        <f>IFERROR(VLOOKUP(Table6[[#This Row],[Error Code]],'Basic Data'!$T:$U,2,0),"")</f>
        <v>Low Level Hydraulic Group Refrigeration Oil</v>
      </c>
      <c r="M122" s="364" t="s">
        <v>462</v>
      </c>
      <c r="O122" s="365">
        <v>0.26250000000000001</v>
      </c>
      <c r="P122" s="365">
        <v>0.26250000000000001</v>
      </c>
      <c r="Q122" s="365">
        <v>0.49236111111111114</v>
      </c>
      <c r="R122" s="366">
        <f>IF(Table6[[#This Row],[Work Start TimeStamp]]="","",(Table6[[#This Row],[Work Start TimeStamp]]-Table6[[#This Row],[Fault Start TimeStamp]])*24)</f>
        <v>0</v>
      </c>
      <c r="S122" s="367">
        <f>(Table6[[#This Row],[Fault Clearance time]]-Table6[[#This Row],[Work Start TimeStamp]])*24</f>
        <v>5.5166666666666675</v>
      </c>
      <c r="T122" s="368">
        <f>(Table6[[#This Row],[Fault Clearance time]]-Table6[[#This Row],[Fault Start TimeStamp]])*24</f>
        <v>5.5166666666666675</v>
      </c>
      <c r="U122" s="364" t="s">
        <v>523</v>
      </c>
      <c r="V122" s="369" t="s">
        <v>463</v>
      </c>
      <c r="W122" s="354">
        <f>Table6[[#This Row],[Breakdown Time]]*(1/39)</f>
        <v>0.14145299145299148</v>
      </c>
      <c r="X122" s="352" t="s">
        <v>465</v>
      </c>
      <c r="Y122" s="370" t="s">
        <v>152</v>
      </c>
      <c r="Z122" s="121">
        <v>6772</v>
      </c>
      <c r="AA122" s="123">
        <v>1556.6194444444448</v>
      </c>
      <c r="AB122" s="121" t="s">
        <v>478</v>
      </c>
    </row>
    <row r="123" spans="1:28">
      <c r="A123" s="121">
        <f t="shared" si="1"/>
        <v>122</v>
      </c>
      <c r="B123" s="123">
        <f>YEAR(Table6[[#This Row],[Date]])+IF(MONTH(Table6[[#This Row],[Date]])&gt;=4,1,0)</f>
        <v>2026</v>
      </c>
      <c r="C123" s="121">
        <f>YEAR(Table6[[#This Row],[Date]])</f>
        <v>2025</v>
      </c>
      <c r="D123" s="121" t="s">
        <v>490</v>
      </c>
      <c r="E123" s="135">
        <f>Table6[[#This Row],[Date]]-DAY(Table6[[#This Row],[Date]])+1</f>
        <v>45748</v>
      </c>
      <c r="F123" s="134">
        <v>45748</v>
      </c>
      <c r="G123" s="121" t="s">
        <v>151</v>
      </c>
      <c r="H123" s="39" t="str">
        <f>_xlfn.XLOOKUP(Table6[[#This Row],[Affected WTG]],'Basic Data'!$A:$A,'Basic Data'!$B:$B)</f>
        <v>PWEGPL</v>
      </c>
      <c r="I123" s="39" t="str">
        <f>_xlfn.XLOOKUP(Table6[[#This Row],[Affected WTG]],'Basic Data'!$A:$A,'Basic Data'!$C:$C)</f>
        <v>MSEDCL</v>
      </c>
      <c r="J123" s="363">
        <f>IFERROR(VLOOKUP(Table6[[#This Row],[Affected WTG]],'Basic Data'!$A$3:$E$56,5,0),"")</f>
        <v>2.564102564102564E-2</v>
      </c>
      <c r="K123" s="121" t="s">
        <v>492</v>
      </c>
      <c r="L123" s="39" t="str">
        <f>IFERROR(VLOOKUP(Table6[[#This Row],[Error Code]],'Basic Data'!$T:$U,2,0),"")</f>
        <v>Manual Stop - Safety Related</v>
      </c>
      <c r="M123" s="364" t="s">
        <v>479</v>
      </c>
      <c r="O123" s="365">
        <v>0.49236111111111114</v>
      </c>
      <c r="P123" s="365">
        <v>0.49236111111111114</v>
      </c>
      <c r="Q123" s="365">
        <v>0.64722222222222225</v>
      </c>
      <c r="R123" s="366">
        <f>IF(Table6[[#This Row],[Work Start TimeStamp]]="","",(Table6[[#This Row],[Work Start TimeStamp]]-Table6[[#This Row],[Fault Start TimeStamp]])*24)</f>
        <v>0</v>
      </c>
      <c r="S123" s="367">
        <f>(Table6[[#This Row],[Fault Clearance time]]-Table6[[#This Row],[Work Start TimeStamp]])*24</f>
        <v>3.7166666666666668</v>
      </c>
      <c r="T123" s="368">
        <f>(Table6[[#This Row],[Fault Clearance time]]-Table6[[#This Row],[Fault Start TimeStamp]])*24</f>
        <v>3.7166666666666668</v>
      </c>
      <c r="U123" s="364" t="s">
        <v>504</v>
      </c>
      <c r="V123" s="369" t="s">
        <v>463</v>
      </c>
      <c r="W123" s="354">
        <f>Table6[[#This Row],[Breakdown Time]]*(1/39)</f>
        <v>9.5299145299145294E-2</v>
      </c>
      <c r="X123" s="352" t="s">
        <v>464</v>
      </c>
      <c r="Y123" s="370" t="s">
        <v>152</v>
      </c>
      <c r="Z123" s="121">
        <v>6772</v>
      </c>
      <c r="AA123" s="123">
        <v>1048.7194444444447</v>
      </c>
      <c r="AB123" s="121" t="s">
        <v>478</v>
      </c>
    </row>
    <row r="124" spans="1:28">
      <c r="A124" s="121">
        <f t="shared" si="1"/>
        <v>123</v>
      </c>
      <c r="B124" s="123">
        <f>YEAR(Table6[[#This Row],[Date]])+IF(MONTH(Table6[[#This Row],[Date]])&gt;=4,1,0)</f>
        <v>2026</v>
      </c>
      <c r="C124" s="121">
        <f>YEAR(Table6[[#This Row],[Date]])</f>
        <v>2025</v>
      </c>
      <c r="D124" s="121" t="s">
        <v>490</v>
      </c>
      <c r="E124" s="135">
        <f>Table6[[#This Row],[Date]]-DAY(Table6[[#This Row],[Date]])+1</f>
        <v>45748</v>
      </c>
      <c r="F124" s="134">
        <v>45748</v>
      </c>
      <c r="G124" s="121" t="s">
        <v>152</v>
      </c>
      <c r="H124" s="39" t="str">
        <f>_xlfn.XLOOKUP(Table6[[#This Row],[Affected WTG]],'Basic Data'!$A:$A,'Basic Data'!$B:$B)</f>
        <v>PWEGPL</v>
      </c>
      <c r="I124" s="39" t="str">
        <f>_xlfn.XLOOKUP(Table6[[#This Row],[Affected WTG]],'Basic Data'!$A:$A,'Basic Data'!$C:$C)</f>
        <v>MSEDCL</v>
      </c>
      <c r="J124" s="363">
        <f>IFERROR(VLOOKUP(Table6[[#This Row],[Affected WTG]],'Basic Data'!$A$3:$E$56,5,0),"")</f>
        <v>2.564102564102564E-2</v>
      </c>
      <c r="K124" s="121">
        <v>5201</v>
      </c>
      <c r="L124" s="39" t="str">
        <f>IFERROR(VLOOKUP(Table6[[#This Row],[Error Code]],'Basic Data'!$T:$U,2,0),"")</f>
        <v>Magnetothermic Trigger Of The Stator Protection</v>
      </c>
      <c r="M124" s="364" t="s">
        <v>462</v>
      </c>
      <c r="O124" s="365">
        <v>0.97638888888888886</v>
      </c>
      <c r="P124" s="365">
        <v>0.98333333333333328</v>
      </c>
      <c r="Q124" s="365">
        <v>0.98333333333333328</v>
      </c>
      <c r="R124" s="366">
        <f>IF(Table6[[#This Row],[Work Start TimeStamp]]="","",(Table6[[#This Row],[Work Start TimeStamp]]-Table6[[#This Row],[Fault Start TimeStamp]])*24)</f>
        <v>0.16666666666666607</v>
      </c>
      <c r="S124" s="367">
        <f>(Table6[[#This Row],[Fault Clearance time]]-Table6[[#This Row],[Work Start TimeStamp]])*24</f>
        <v>0</v>
      </c>
      <c r="T124" s="368">
        <f>(Table6[[#This Row],[Fault Clearance time]]-Table6[[#This Row],[Fault Start TimeStamp]])*24</f>
        <v>0.16666666666666607</v>
      </c>
      <c r="U124" s="364" t="s">
        <v>480</v>
      </c>
      <c r="V124" s="369" t="s">
        <v>463</v>
      </c>
      <c r="W124" s="354">
        <f>Table6[[#This Row],[Breakdown Time]]*(1/39)</f>
        <v>4.2735042735042583E-3</v>
      </c>
      <c r="X124" s="352" t="s">
        <v>465</v>
      </c>
      <c r="Y124" s="370" t="s">
        <v>153</v>
      </c>
      <c r="Z124" s="121">
        <v>3752</v>
      </c>
      <c r="AA124" s="123">
        <v>26.055555555555465</v>
      </c>
      <c r="AB124" s="121" t="s">
        <v>478</v>
      </c>
    </row>
    <row r="125" spans="1:28">
      <c r="A125" s="121">
        <f t="shared" si="1"/>
        <v>124</v>
      </c>
      <c r="B125" s="123">
        <f>YEAR(Table6[[#This Row],[Date]])+IF(MONTH(Table6[[#This Row],[Date]])&gt;=4,1,0)</f>
        <v>2026</v>
      </c>
      <c r="C125" s="121">
        <f>YEAR(Table6[[#This Row],[Date]])</f>
        <v>2025</v>
      </c>
      <c r="D125" s="121" t="s">
        <v>490</v>
      </c>
      <c r="E125" s="135">
        <f>Table6[[#This Row],[Date]]-DAY(Table6[[#This Row],[Date]])+1</f>
        <v>45748</v>
      </c>
      <c r="F125" s="134">
        <v>45748</v>
      </c>
      <c r="G125" s="121" t="s">
        <v>153</v>
      </c>
      <c r="H125" s="39" t="str">
        <f>_xlfn.XLOOKUP(Table6[[#This Row],[Affected WTG]],'Basic Data'!$A:$A,'Basic Data'!$B:$B)</f>
        <v>PWEGPL</v>
      </c>
      <c r="I125" s="39" t="str">
        <f>_xlfn.XLOOKUP(Table6[[#This Row],[Affected WTG]],'Basic Data'!$A:$A,'Basic Data'!$C:$C)</f>
        <v>MSEDCL</v>
      </c>
      <c r="J125" s="363">
        <f>IFERROR(VLOOKUP(Table6[[#This Row],[Affected WTG]],'Basic Data'!$A$3:$E$56,5,0),"")</f>
        <v>2.564102564102564E-2</v>
      </c>
      <c r="K125" s="121">
        <v>812</v>
      </c>
      <c r="L125" s="39" t="str">
        <f>IFERROR(VLOOKUP(Table6[[#This Row],[Error Code]],'Basic Data'!$T:$U,2,0),"")</f>
        <v>Blade Position Meas. Error</v>
      </c>
      <c r="M125" s="364" t="s">
        <v>462</v>
      </c>
      <c r="O125" s="365">
        <v>0</v>
      </c>
      <c r="P125" s="365">
        <v>0.19583333333333333</v>
      </c>
      <c r="Q125" s="365">
        <v>0.22152777777777777</v>
      </c>
      <c r="R125" s="366">
        <f>IF(Table6[[#This Row],[Work Start TimeStamp]]="","",(Table6[[#This Row],[Work Start TimeStamp]]-Table6[[#This Row],[Fault Start TimeStamp]])*24)</f>
        <v>4.7</v>
      </c>
      <c r="S125" s="367">
        <f>(Table6[[#This Row],[Fault Clearance time]]-Table6[[#This Row],[Work Start TimeStamp]])*24</f>
        <v>0.61666666666666647</v>
      </c>
      <c r="T125" s="368">
        <f>(Table6[[#This Row],[Fault Clearance time]]-Table6[[#This Row],[Fault Start TimeStamp]])*24</f>
        <v>5.3166666666666664</v>
      </c>
      <c r="U125" s="364" t="s">
        <v>480</v>
      </c>
      <c r="V125" s="369" t="s">
        <v>463</v>
      </c>
      <c r="W125" s="354">
        <f>Table6[[#This Row],[Breakdown Time]]*(1/39)</f>
        <v>0.13632478632478631</v>
      </c>
      <c r="X125" s="352" t="s">
        <v>465</v>
      </c>
      <c r="Y125" s="370" t="s">
        <v>152</v>
      </c>
      <c r="Z125" s="121">
        <v>6772</v>
      </c>
      <c r="AA125" s="123">
        <v>1500.1861111111111</v>
      </c>
      <c r="AB125" s="121" t="s">
        <v>478</v>
      </c>
    </row>
    <row r="126" spans="1:28">
      <c r="A126" s="121">
        <f t="shared" si="1"/>
        <v>125</v>
      </c>
      <c r="B126" s="123">
        <f>YEAR(Table6[[#This Row],[Date]])+IF(MONTH(Table6[[#This Row],[Date]])&gt;=4,1,0)</f>
        <v>2026</v>
      </c>
      <c r="C126" s="121">
        <f>YEAR(Table6[[#This Row],[Date]])</f>
        <v>2025</v>
      </c>
      <c r="D126" s="121" t="s">
        <v>490</v>
      </c>
      <c r="E126" s="135">
        <f>Table6[[#This Row],[Date]]-DAY(Table6[[#This Row],[Date]])+1</f>
        <v>45748</v>
      </c>
      <c r="F126" s="134">
        <v>45748</v>
      </c>
      <c r="G126" s="121" t="s">
        <v>153</v>
      </c>
      <c r="H126" s="39" t="str">
        <f>_xlfn.XLOOKUP(Table6[[#This Row],[Affected WTG]],'Basic Data'!$A:$A,'Basic Data'!$B:$B)</f>
        <v>PWEGPL</v>
      </c>
      <c r="I126" s="39" t="str">
        <f>_xlfn.XLOOKUP(Table6[[#This Row],[Affected WTG]],'Basic Data'!$A:$A,'Basic Data'!$C:$C)</f>
        <v>MSEDCL</v>
      </c>
      <c r="J126" s="363">
        <f>IFERROR(VLOOKUP(Table6[[#This Row],[Affected WTG]],'Basic Data'!$A$3:$E$56,5,0),"")</f>
        <v>2.564102564102564E-2</v>
      </c>
      <c r="K126" s="121">
        <v>812</v>
      </c>
      <c r="L126" s="39" t="str">
        <f>IFERROR(VLOOKUP(Table6[[#This Row],[Error Code]],'Basic Data'!$T:$U,2,0),"")</f>
        <v>Blade Position Meas. Error</v>
      </c>
      <c r="M126" s="364" t="s">
        <v>462</v>
      </c>
      <c r="O126" s="365">
        <v>0.25</v>
      </c>
      <c r="P126" s="365">
        <v>0.46736111111111112</v>
      </c>
      <c r="Q126" s="365">
        <v>0.47499999999999998</v>
      </c>
      <c r="R126" s="366">
        <f>IF(Table6[[#This Row],[Work Start TimeStamp]]="","",(Table6[[#This Row],[Work Start TimeStamp]]-Table6[[#This Row],[Fault Start TimeStamp]])*24)</f>
        <v>5.2166666666666668</v>
      </c>
      <c r="S126" s="367">
        <f>(Table6[[#This Row],[Fault Clearance time]]-Table6[[#This Row],[Work Start TimeStamp]])*24</f>
        <v>0.18333333333333268</v>
      </c>
      <c r="T126" s="368">
        <f>(Table6[[#This Row],[Fault Clearance time]]-Table6[[#This Row],[Fault Start TimeStamp]])*24</f>
        <v>5.3999999999999995</v>
      </c>
      <c r="U126" s="364" t="s">
        <v>491</v>
      </c>
      <c r="V126" s="369" t="s">
        <v>463</v>
      </c>
      <c r="W126" s="354">
        <f>Table6[[#This Row],[Breakdown Time]]*(1/39)</f>
        <v>0.13846153846153844</v>
      </c>
      <c r="X126" s="352" t="s">
        <v>465</v>
      </c>
      <c r="Y126" s="370" t="s">
        <v>152</v>
      </c>
      <c r="Z126" s="121">
        <v>6772</v>
      </c>
      <c r="AA126" s="123">
        <v>1523.7</v>
      </c>
      <c r="AB126" s="121" t="s">
        <v>478</v>
      </c>
    </row>
    <row r="127" spans="1:28">
      <c r="A127" s="121">
        <f t="shared" si="1"/>
        <v>126</v>
      </c>
      <c r="B127" s="123">
        <f>YEAR(Table6[[#This Row],[Date]])+IF(MONTH(Table6[[#This Row],[Date]])&gt;=4,1,0)</f>
        <v>2026</v>
      </c>
      <c r="C127" s="121">
        <f>YEAR(Table6[[#This Row],[Date]])</f>
        <v>2025</v>
      </c>
      <c r="D127" s="121" t="s">
        <v>490</v>
      </c>
      <c r="E127" s="135">
        <f>Table6[[#This Row],[Date]]-DAY(Table6[[#This Row],[Date]])+1</f>
        <v>45748</v>
      </c>
      <c r="F127" s="134">
        <v>45748</v>
      </c>
      <c r="G127" s="121" t="s">
        <v>153</v>
      </c>
      <c r="H127" s="39" t="str">
        <f>_xlfn.XLOOKUP(Table6[[#This Row],[Affected WTG]],'Basic Data'!$A:$A,'Basic Data'!$B:$B)</f>
        <v>PWEGPL</v>
      </c>
      <c r="I127" s="39" t="str">
        <f>_xlfn.XLOOKUP(Table6[[#This Row],[Affected WTG]],'Basic Data'!$A:$A,'Basic Data'!$C:$C)</f>
        <v>MSEDCL</v>
      </c>
      <c r="J127" s="363">
        <f>IFERROR(VLOOKUP(Table6[[#This Row],[Affected WTG]],'Basic Data'!$A$3:$E$56,5,0),"")</f>
        <v>2.564102564102564E-2</v>
      </c>
      <c r="K127" s="121">
        <v>812</v>
      </c>
      <c r="L127" s="39" t="str">
        <f>IFERROR(VLOOKUP(Table6[[#This Row],[Error Code]],'Basic Data'!$T:$U,2,0),"")</f>
        <v>Blade Position Meas. Error</v>
      </c>
      <c r="M127" s="364" t="s">
        <v>462</v>
      </c>
      <c r="O127" s="365">
        <v>0.65902777777777777</v>
      </c>
      <c r="P127" s="365">
        <v>0.67569444444444449</v>
      </c>
      <c r="Q127" s="365">
        <v>0.67708333333333337</v>
      </c>
      <c r="R127" s="366">
        <f>IF(Table6[[#This Row],[Work Start TimeStamp]]="","",(Table6[[#This Row],[Work Start TimeStamp]]-Table6[[#This Row],[Fault Start TimeStamp]])*24)</f>
        <v>0.40000000000000124</v>
      </c>
      <c r="S127" s="367">
        <f>(Table6[[#This Row],[Fault Clearance time]]-Table6[[#This Row],[Work Start TimeStamp]])*24</f>
        <v>3.3333333333333215E-2</v>
      </c>
      <c r="T127" s="368">
        <f>(Table6[[#This Row],[Fault Clearance time]]-Table6[[#This Row],[Fault Start TimeStamp]])*24</f>
        <v>0.43333333333333446</v>
      </c>
      <c r="U127" s="364" t="s">
        <v>491</v>
      </c>
      <c r="V127" s="369" t="s">
        <v>463</v>
      </c>
      <c r="W127" s="354">
        <f>Table6[[#This Row],[Breakdown Time]]*(1/39)</f>
        <v>1.1111111111111139E-2</v>
      </c>
      <c r="X127" s="352" t="s">
        <v>465</v>
      </c>
      <c r="Y127" s="370" t="s">
        <v>152</v>
      </c>
      <c r="Z127" s="121">
        <v>6772</v>
      </c>
      <c r="AA127" s="123">
        <v>122.27222222222255</v>
      </c>
      <c r="AB127" s="121" t="s">
        <v>478</v>
      </c>
    </row>
    <row r="128" spans="1:28">
      <c r="A128" s="121">
        <f t="shared" si="1"/>
        <v>127</v>
      </c>
      <c r="B128" s="123">
        <f>YEAR(Table6[[#This Row],[Date]])+IF(MONTH(Table6[[#This Row],[Date]])&gt;=4,1,0)</f>
        <v>2026</v>
      </c>
      <c r="C128" s="121">
        <f>YEAR(Table6[[#This Row],[Date]])</f>
        <v>2025</v>
      </c>
      <c r="D128" s="121" t="s">
        <v>490</v>
      </c>
      <c r="E128" s="135">
        <f>Table6[[#This Row],[Date]]-DAY(Table6[[#This Row],[Date]])+1</f>
        <v>45748</v>
      </c>
      <c r="F128" s="134">
        <v>45748</v>
      </c>
      <c r="G128" s="121" t="s">
        <v>153</v>
      </c>
      <c r="H128" s="39" t="str">
        <f>_xlfn.XLOOKUP(Table6[[#This Row],[Affected WTG]],'Basic Data'!$A:$A,'Basic Data'!$B:$B)</f>
        <v>PWEGPL</v>
      </c>
      <c r="I128" s="39" t="str">
        <f>_xlfn.XLOOKUP(Table6[[#This Row],[Affected WTG]],'Basic Data'!$A:$A,'Basic Data'!$C:$C)</f>
        <v>MSEDCL</v>
      </c>
      <c r="J128" s="363">
        <f>IFERROR(VLOOKUP(Table6[[#This Row],[Affected WTG]],'Basic Data'!$A$3:$E$56,5,0),"")</f>
        <v>2.564102564102564E-2</v>
      </c>
      <c r="K128" s="121">
        <v>812</v>
      </c>
      <c r="L128" s="39" t="str">
        <f>IFERROR(VLOOKUP(Table6[[#This Row],[Error Code]],'Basic Data'!$T:$U,2,0),"")</f>
        <v>Blade Position Meas. Error</v>
      </c>
      <c r="M128" s="364" t="s">
        <v>462</v>
      </c>
      <c r="O128" s="365">
        <v>0.93263888888888891</v>
      </c>
      <c r="P128" s="365">
        <v>0.94374999999999998</v>
      </c>
      <c r="Q128" s="365">
        <v>0.96111111111111114</v>
      </c>
      <c r="R128" s="366">
        <f>IF(Table6[[#This Row],[Work Start TimeStamp]]="","",(Table6[[#This Row],[Work Start TimeStamp]]-Table6[[#This Row],[Fault Start TimeStamp]])*24)</f>
        <v>0.26666666666666572</v>
      </c>
      <c r="S128" s="367">
        <f>(Table6[[#This Row],[Fault Clearance time]]-Table6[[#This Row],[Work Start TimeStamp]])*24</f>
        <v>0.41666666666666785</v>
      </c>
      <c r="T128" s="368">
        <f>(Table6[[#This Row],[Fault Clearance time]]-Table6[[#This Row],[Fault Start TimeStamp]])*24</f>
        <v>0.68333333333333357</v>
      </c>
      <c r="U128" s="364" t="s">
        <v>491</v>
      </c>
      <c r="V128" s="369" t="s">
        <v>463</v>
      </c>
      <c r="W128" s="354">
        <f>Table6[[#This Row],[Breakdown Time]]*(1/39)</f>
        <v>1.7521367521367529E-2</v>
      </c>
      <c r="X128" s="352" t="s">
        <v>465</v>
      </c>
      <c r="Y128" s="370" t="s">
        <v>152</v>
      </c>
      <c r="Z128" s="121">
        <v>6772</v>
      </c>
      <c r="AA128" s="123">
        <v>192.81388888888898</v>
      </c>
      <c r="AB128" s="121" t="s">
        <v>478</v>
      </c>
    </row>
    <row r="129" spans="1:28">
      <c r="A129" s="121">
        <f t="shared" si="1"/>
        <v>128</v>
      </c>
      <c r="B129" s="123">
        <f>YEAR(Table6[[#This Row],[Date]])+IF(MONTH(Table6[[#This Row],[Date]])&gt;=4,1,0)</f>
        <v>2026</v>
      </c>
      <c r="C129" s="121">
        <f>YEAR(Table6[[#This Row],[Date]])</f>
        <v>2025</v>
      </c>
      <c r="D129" s="121" t="s">
        <v>490</v>
      </c>
      <c r="E129" s="135">
        <f>Table6[[#This Row],[Date]]-DAY(Table6[[#This Row],[Date]])+1</f>
        <v>45748</v>
      </c>
      <c r="F129" s="134">
        <v>45749</v>
      </c>
      <c r="G129" s="121" t="s">
        <v>144</v>
      </c>
      <c r="H129" s="39" t="str">
        <f>_xlfn.XLOOKUP(Table6[[#This Row],[Affected WTG]],'Basic Data'!$A:$A,'Basic Data'!$B:$B)</f>
        <v>PWEGPL</v>
      </c>
      <c r="I129" s="39" t="str">
        <f>_xlfn.XLOOKUP(Table6[[#This Row],[Affected WTG]],'Basic Data'!$A:$A,'Basic Data'!$C:$C)</f>
        <v>MSEDCL</v>
      </c>
      <c r="J129" s="363">
        <f>IFERROR(VLOOKUP(Table6[[#This Row],[Affected WTG]],'Basic Data'!$A$3:$E$56,5,0),"")</f>
        <v>2.564102564102564E-2</v>
      </c>
      <c r="K129" s="121" t="s">
        <v>492</v>
      </c>
      <c r="L129" s="39" t="str">
        <f>IFERROR(VLOOKUP(Table6[[#This Row],[Error Code]],'Basic Data'!$T:$U,2,0),"")</f>
        <v>Manual Stop - Safety Related</v>
      </c>
      <c r="M129" s="364" t="s">
        <v>481</v>
      </c>
      <c r="O129" s="365">
        <v>0</v>
      </c>
      <c r="P129" s="365">
        <v>0.99930555555555556</v>
      </c>
      <c r="Q129" s="365">
        <v>0.99930555555555556</v>
      </c>
      <c r="R129" s="366">
        <f>IF(Table6[[#This Row],[Work Start TimeStamp]]="","",(Table6[[#This Row],[Work Start TimeStamp]]-Table6[[#This Row],[Fault Start TimeStamp]])*24)</f>
        <v>23.983333333333334</v>
      </c>
      <c r="S129" s="367">
        <f>(Table6[[#This Row],[Fault Clearance time]]-Table6[[#This Row],[Work Start TimeStamp]])*24</f>
        <v>0</v>
      </c>
      <c r="T129" s="368">
        <f>(Table6[[#This Row],[Fault Clearance time]]-Table6[[#This Row],[Fault Start TimeStamp]])*24</f>
        <v>23.983333333333334</v>
      </c>
      <c r="U129" s="364" t="s">
        <v>498</v>
      </c>
      <c r="V129" s="369" t="s">
        <v>473</v>
      </c>
      <c r="W129" s="354">
        <f>Table6[[#This Row],[Breakdown Time]]*(1/39)</f>
        <v>0.61495726495726499</v>
      </c>
      <c r="X129" s="352" t="s">
        <v>468</v>
      </c>
      <c r="Y129" s="370" t="s">
        <v>141</v>
      </c>
      <c r="Z129" s="121">
        <v>10142</v>
      </c>
      <c r="AA129" s="123">
        <v>10134.956944444444</v>
      </c>
      <c r="AB129" s="121" t="s">
        <v>478</v>
      </c>
    </row>
    <row r="130" spans="1:28">
      <c r="A130" s="121">
        <f t="shared" si="1"/>
        <v>129</v>
      </c>
      <c r="B130" s="123">
        <f>YEAR(Table6[[#This Row],[Date]])+IF(MONTH(Table6[[#This Row],[Date]])&gt;=4,1,0)</f>
        <v>2026</v>
      </c>
      <c r="C130" s="121">
        <f>YEAR(Table6[[#This Row],[Date]])</f>
        <v>2025</v>
      </c>
      <c r="D130" s="121" t="s">
        <v>490</v>
      </c>
      <c r="E130" s="135">
        <f>Table6[[#This Row],[Date]]-DAY(Table6[[#This Row],[Date]])+1</f>
        <v>45748</v>
      </c>
      <c r="F130" s="134">
        <v>45749</v>
      </c>
      <c r="G130" s="121" t="s">
        <v>142</v>
      </c>
      <c r="H130" s="39" t="str">
        <f>_xlfn.XLOOKUP(Table6[[#This Row],[Affected WTG]],'Basic Data'!$A:$A,'Basic Data'!$B:$B)</f>
        <v>PWEGPL</v>
      </c>
      <c r="I130" s="39" t="str">
        <f>_xlfn.XLOOKUP(Table6[[#This Row],[Affected WTG]],'Basic Data'!$A:$A,'Basic Data'!$C:$C)</f>
        <v>MSEDCL</v>
      </c>
      <c r="J130" s="363">
        <f>IFERROR(VLOOKUP(Table6[[#This Row],[Affected WTG]],'Basic Data'!$A$3:$E$56,5,0),"")</f>
        <v>2.564102564102564E-2</v>
      </c>
      <c r="K130" s="121" t="s">
        <v>492</v>
      </c>
      <c r="L130" s="39" t="str">
        <f>IFERROR(VLOOKUP(Table6[[#This Row],[Error Code]],'Basic Data'!$T:$U,2,0),"")</f>
        <v>Manual Stop - Safety Related</v>
      </c>
      <c r="M130" s="364" t="s">
        <v>481</v>
      </c>
      <c r="O130" s="365">
        <v>0</v>
      </c>
      <c r="P130" s="365">
        <v>0.99930555555555556</v>
      </c>
      <c r="Q130" s="365">
        <v>0.99930555555555556</v>
      </c>
      <c r="R130" s="366">
        <f>IF(Table6[[#This Row],[Work Start TimeStamp]]="","",(Table6[[#This Row],[Work Start TimeStamp]]-Table6[[#This Row],[Fault Start TimeStamp]])*24)</f>
        <v>23.983333333333334</v>
      </c>
      <c r="S130" s="367">
        <f>(Table6[[#This Row],[Fault Clearance time]]-Table6[[#This Row],[Work Start TimeStamp]])*24</f>
        <v>0</v>
      </c>
      <c r="T130" s="368">
        <f>(Table6[[#This Row],[Fault Clearance time]]-Table6[[#This Row],[Fault Start TimeStamp]])*24</f>
        <v>23.983333333333334</v>
      </c>
      <c r="U130" s="364" t="s">
        <v>498</v>
      </c>
      <c r="V130" s="369" t="s">
        <v>473</v>
      </c>
      <c r="W130" s="354">
        <f>Table6[[#This Row],[Breakdown Time]]*(1/39)</f>
        <v>0.61495726495726499</v>
      </c>
      <c r="X130" s="352" t="s">
        <v>468</v>
      </c>
      <c r="Y130" s="370" t="s">
        <v>141</v>
      </c>
      <c r="Z130" s="121">
        <v>10142</v>
      </c>
      <c r="AA130" s="123">
        <v>10134.956944444444</v>
      </c>
      <c r="AB130" s="121" t="s">
        <v>478</v>
      </c>
    </row>
    <row r="131" spans="1:28">
      <c r="A131" s="121">
        <f t="shared" si="1"/>
        <v>130</v>
      </c>
      <c r="B131" s="123">
        <f>YEAR(Table6[[#This Row],[Date]])+IF(MONTH(Table6[[#This Row],[Date]])&gt;=4,1,0)</f>
        <v>2026</v>
      </c>
      <c r="C131" s="121">
        <f>YEAR(Table6[[#This Row],[Date]])</f>
        <v>2025</v>
      </c>
      <c r="D131" s="121" t="s">
        <v>490</v>
      </c>
      <c r="E131" s="135">
        <f>Table6[[#This Row],[Date]]-DAY(Table6[[#This Row],[Date]])+1</f>
        <v>45748</v>
      </c>
      <c r="F131" s="134">
        <v>45749</v>
      </c>
      <c r="G131" s="121" t="s">
        <v>116</v>
      </c>
      <c r="H131" s="39" t="str">
        <f>_xlfn.XLOOKUP(Table6[[#This Row],[Affected WTG]],'Basic Data'!$A:$A,'Basic Data'!$B:$B)</f>
        <v>PWEGPL</v>
      </c>
      <c r="I131" s="39" t="str">
        <f>_xlfn.XLOOKUP(Table6[[#This Row],[Affected WTG]],'Basic Data'!$A:$A,'Basic Data'!$C:$C)</f>
        <v>MSEDCL</v>
      </c>
      <c r="J131" s="363">
        <f>IFERROR(VLOOKUP(Table6[[#This Row],[Affected WTG]],'Basic Data'!$A$3:$E$56,5,0),"")</f>
        <v>2.564102564102564E-2</v>
      </c>
      <c r="K131" s="121">
        <v>5225</v>
      </c>
      <c r="L131" s="39" t="str">
        <f>IFERROR(VLOOKUP(Table6[[#This Row],[Error Code]],'Basic Data'!$T:$U,2,0),"")</f>
        <v>Fault In Analog Electronic Power Supply</v>
      </c>
      <c r="M131" s="364" t="s">
        <v>462</v>
      </c>
      <c r="O131" s="365">
        <v>5.6250000000000001E-2</v>
      </c>
      <c r="P131" s="365">
        <v>0.16527777777777777</v>
      </c>
      <c r="Q131" s="365">
        <v>0.19166666666666668</v>
      </c>
      <c r="R131" s="366">
        <f>IF(Table6[[#This Row],[Work Start TimeStamp]]="","",(Table6[[#This Row],[Work Start TimeStamp]]-Table6[[#This Row],[Fault Start TimeStamp]])*24)</f>
        <v>2.6166666666666667</v>
      </c>
      <c r="S131" s="367">
        <f>(Table6[[#This Row],[Fault Clearance time]]-Table6[[#This Row],[Work Start TimeStamp]])*24</f>
        <v>0.63333333333333375</v>
      </c>
      <c r="T131" s="368">
        <f>(Table6[[#This Row],[Fault Clearance time]]-Table6[[#This Row],[Fault Start TimeStamp]])*24</f>
        <v>3.2500000000000004</v>
      </c>
      <c r="U131" s="364" t="s">
        <v>524</v>
      </c>
      <c r="V131" s="369" t="s">
        <v>463</v>
      </c>
      <c r="W131" s="354">
        <f>Table6[[#This Row],[Breakdown Time]]*(1/39)</f>
        <v>8.3333333333333343E-2</v>
      </c>
      <c r="X131" s="352" t="s">
        <v>465</v>
      </c>
      <c r="Y131" s="370" t="s">
        <v>118</v>
      </c>
      <c r="Z131" s="121">
        <v>5956</v>
      </c>
      <c r="AA131" s="123">
        <v>806.54166666666674</v>
      </c>
      <c r="AB131" s="121" t="s">
        <v>478</v>
      </c>
    </row>
    <row r="132" spans="1:28">
      <c r="A132" s="121">
        <f t="shared" ref="A132:A195" si="2">A131+1</f>
        <v>131</v>
      </c>
      <c r="B132" s="123">
        <f>YEAR(Table6[[#This Row],[Date]])+IF(MONTH(Table6[[#This Row],[Date]])&gt;=4,1,0)</f>
        <v>2026</v>
      </c>
      <c r="C132" s="121">
        <f>YEAR(Table6[[#This Row],[Date]])</f>
        <v>2025</v>
      </c>
      <c r="D132" s="121" t="s">
        <v>490</v>
      </c>
      <c r="E132" s="135">
        <f>Table6[[#This Row],[Date]]-DAY(Table6[[#This Row],[Date]])+1</f>
        <v>45748</v>
      </c>
      <c r="F132" s="134">
        <v>45749</v>
      </c>
      <c r="G132" s="121" t="s">
        <v>118</v>
      </c>
      <c r="H132" s="39" t="str">
        <f>_xlfn.XLOOKUP(Table6[[#This Row],[Affected WTG]],'Basic Data'!$A:$A,'Basic Data'!$B:$B)</f>
        <v>PWEGPL</v>
      </c>
      <c r="I132" s="39" t="str">
        <f>_xlfn.XLOOKUP(Table6[[#This Row],[Affected WTG]],'Basic Data'!$A:$A,'Basic Data'!$C:$C)</f>
        <v>MSEDCL</v>
      </c>
      <c r="J132" s="363">
        <f>IFERROR(VLOOKUP(Table6[[#This Row],[Affected WTG]],'Basic Data'!$A$3:$E$56,5,0),"")</f>
        <v>2.564102564102564E-2</v>
      </c>
      <c r="K132" s="121">
        <v>5203</v>
      </c>
      <c r="L132" s="39" t="str">
        <f>IFERROR(VLOOKUP(Table6[[#This Row],[Error Code]],'Basic Data'!$T:$U,2,0),"")</f>
        <v>Heating/Coolant Thermal Magnetic Failure</v>
      </c>
      <c r="M132" s="364" t="s">
        <v>462</v>
      </c>
      <c r="O132" s="365">
        <v>0.17569444444444443</v>
      </c>
      <c r="P132" s="365">
        <v>0.22569444444444445</v>
      </c>
      <c r="Q132" s="365">
        <v>0.35416666666666669</v>
      </c>
      <c r="R132" s="366">
        <f>IF(Table6[[#This Row],[Work Start TimeStamp]]="","",(Table6[[#This Row],[Work Start TimeStamp]]-Table6[[#This Row],[Fault Start TimeStamp]])*24)</f>
        <v>1.2000000000000004</v>
      </c>
      <c r="S132" s="367">
        <f>(Table6[[#This Row],[Fault Clearance time]]-Table6[[#This Row],[Work Start TimeStamp]])*24</f>
        <v>3.0833333333333339</v>
      </c>
      <c r="T132" s="368">
        <f>(Table6[[#This Row],[Fault Clearance time]]-Table6[[#This Row],[Fault Start TimeStamp]])*24</f>
        <v>4.2833333333333341</v>
      </c>
      <c r="U132" s="364" t="s">
        <v>525</v>
      </c>
      <c r="V132" s="369" t="s">
        <v>463</v>
      </c>
      <c r="W132" s="354">
        <f>Table6[[#This Row],[Breakdown Time]]*(1/39)</f>
        <v>0.10982905982905984</v>
      </c>
      <c r="X132" s="352" t="s">
        <v>465</v>
      </c>
      <c r="Y132" s="370" t="s">
        <v>117</v>
      </c>
      <c r="Z132" s="121">
        <v>10570</v>
      </c>
      <c r="AA132" s="123">
        <v>1886.4513888888894</v>
      </c>
      <c r="AB132" s="121" t="s">
        <v>478</v>
      </c>
    </row>
    <row r="133" spans="1:28">
      <c r="A133" s="121">
        <f t="shared" si="2"/>
        <v>132</v>
      </c>
      <c r="B133" s="123">
        <f>YEAR(Table6[[#This Row],[Date]])+IF(MONTH(Table6[[#This Row],[Date]])&gt;=4,1,0)</f>
        <v>2026</v>
      </c>
      <c r="C133" s="121">
        <f>YEAR(Table6[[#This Row],[Date]])</f>
        <v>2025</v>
      </c>
      <c r="D133" s="121" t="s">
        <v>490</v>
      </c>
      <c r="E133" s="135">
        <f>Table6[[#This Row],[Date]]-DAY(Table6[[#This Row],[Date]])+1</f>
        <v>45748</v>
      </c>
      <c r="F133" s="134">
        <v>45749</v>
      </c>
      <c r="G133" s="121" t="s">
        <v>118</v>
      </c>
      <c r="H133" s="39" t="str">
        <f>_xlfn.XLOOKUP(Table6[[#This Row],[Affected WTG]],'Basic Data'!$A:$A,'Basic Data'!$B:$B)</f>
        <v>PWEGPL</v>
      </c>
      <c r="I133" s="39" t="str">
        <f>_xlfn.XLOOKUP(Table6[[#This Row],[Affected WTG]],'Basic Data'!$A:$A,'Basic Data'!$C:$C)</f>
        <v>MSEDCL</v>
      </c>
      <c r="J133" s="363">
        <f>IFERROR(VLOOKUP(Table6[[#This Row],[Affected WTG]],'Basic Data'!$A$3:$E$56,5,0),"")</f>
        <v>2.564102564102564E-2</v>
      </c>
      <c r="K133" s="121">
        <v>205</v>
      </c>
      <c r="L133" s="39" t="str">
        <f>IFERROR(VLOOKUP(Table6[[#This Row],[Error Code]],'Basic Data'!$T:$U,2,0),"")</f>
        <v>Low Level Hydraulic Group Refrigeration Oil</v>
      </c>
      <c r="M133" s="364" t="s">
        <v>462</v>
      </c>
      <c r="O133" s="365">
        <v>0.35416666666666669</v>
      </c>
      <c r="P133" s="365">
        <v>0.49930555555555556</v>
      </c>
      <c r="Q133" s="365">
        <v>0.49930555555555556</v>
      </c>
      <c r="R133" s="366">
        <f>IF(Table6[[#This Row],[Work Start TimeStamp]]="","",(Table6[[#This Row],[Work Start TimeStamp]]-Table6[[#This Row],[Fault Start TimeStamp]])*24)</f>
        <v>3.4833333333333329</v>
      </c>
      <c r="S133" s="367">
        <f>(Table6[[#This Row],[Fault Clearance time]]-Table6[[#This Row],[Work Start TimeStamp]])*24</f>
        <v>0</v>
      </c>
      <c r="T133" s="368">
        <f>(Table6[[#This Row],[Fault Clearance time]]-Table6[[#This Row],[Fault Start TimeStamp]])*24</f>
        <v>3.4833333333333329</v>
      </c>
      <c r="U133" s="364" t="s">
        <v>493</v>
      </c>
      <c r="V133" s="369" t="s">
        <v>463</v>
      </c>
      <c r="W133" s="354">
        <f>Table6[[#This Row],[Breakdown Time]]*(1/39)</f>
        <v>8.9316239316239304E-2</v>
      </c>
      <c r="X133" s="352" t="s">
        <v>465</v>
      </c>
      <c r="Y133" s="370" t="s">
        <v>117</v>
      </c>
      <c r="Z133" s="121">
        <v>10570</v>
      </c>
      <c r="AA133" s="123">
        <v>1534.1180555555554</v>
      </c>
      <c r="AB133" s="121" t="s">
        <v>478</v>
      </c>
    </row>
    <row r="134" spans="1:28">
      <c r="A134" s="121">
        <f t="shared" si="2"/>
        <v>133</v>
      </c>
      <c r="B134" s="123">
        <f>YEAR(Table6[[#This Row],[Date]])+IF(MONTH(Table6[[#This Row],[Date]])&gt;=4,1,0)</f>
        <v>2026</v>
      </c>
      <c r="C134" s="121">
        <f>YEAR(Table6[[#This Row],[Date]])</f>
        <v>2025</v>
      </c>
      <c r="D134" s="121" t="s">
        <v>490</v>
      </c>
      <c r="E134" s="135">
        <f>Table6[[#This Row],[Date]]-DAY(Table6[[#This Row],[Date]])+1</f>
        <v>45748</v>
      </c>
      <c r="F134" s="134">
        <v>45749</v>
      </c>
      <c r="G134" s="121" t="s">
        <v>126</v>
      </c>
      <c r="H134" s="39" t="str">
        <f>_xlfn.XLOOKUP(Table6[[#This Row],[Affected WTG]],'Basic Data'!$A:$A,'Basic Data'!$B:$B)</f>
        <v>PWEGPL</v>
      </c>
      <c r="I134" s="39" t="str">
        <f>_xlfn.XLOOKUP(Table6[[#This Row],[Affected WTG]],'Basic Data'!$A:$A,'Basic Data'!$C:$C)</f>
        <v>MSEDCL</v>
      </c>
      <c r="J134" s="363">
        <f>IFERROR(VLOOKUP(Table6[[#This Row],[Affected WTG]],'Basic Data'!$A$3:$E$56,5,0),"")</f>
        <v>2.564102564102564E-2</v>
      </c>
      <c r="K134" s="121">
        <v>5210</v>
      </c>
      <c r="L134" s="39" t="str">
        <f>IFERROR(VLOOKUP(Table6[[#This Row],[Error Code]],'Basic Data'!$T:$U,2,0),"")</f>
        <v>Failure Of The Contactor's Rotor Power</v>
      </c>
      <c r="M134" s="364" t="s">
        <v>462</v>
      </c>
      <c r="O134" s="365">
        <v>0.13750000000000001</v>
      </c>
      <c r="P134" s="365">
        <v>0.13750000000000001</v>
      </c>
      <c r="Q134" s="365">
        <v>0.15138888888888888</v>
      </c>
      <c r="R134" s="366">
        <f>IF(Table6[[#This Row],[Work Start TimeStamp]]="","",(Table6[[#This Row],[Work Start TimeStamp]]-Table6[[#This Row],[Fault Start TimeStamp]])*24)</f>
        <v>0</v>
      </c>
      <c r="S134" s="367">
        <f>(Table6[[#This Row],[Fault Clearance time]]-Table6[[#This Row],[Work Start TimeStamp]])*24</f>
        <v>0.33333333333333282</v>
      </c>
      <c r="T134" s="368">
        <f>(Table6[[#This Row],[Fault Clearance time]]-Table6[[#This Row],[Fault Start TimeStamp]])*24</f>
        <v>0.33333333333333282</v>
      </c>
      <c r="U134" s="364" t="s">
        <v>480</v>
      </c>
      <c r="V134" s="369" t="s">
        <v>463</v>
      </c>
      <c r="W134" s="354">
        <f>Table6[[#This Row],[Breakdown Time]]*(1/39)</f>
        <v>8.547008547008534E-3</v>
      </c>
      <c r="X134" s="352" t="s">
        <v>465</v>
      </c>
      <c r="Y134" s="370" t="s">
        <v>127</v>
      </c>
      <c r="Z134" s="121">
        <v>11088</v>
      </c>
      <c r="AA134" s="123">
        <v>153.99999999999977</v>
      </c>
      <c r="AB134" s="121" t="s">
        <v>478</v>
      </c>
    </row>
    <row r="135" spans="1:28">
      <c r="A135" s="121">
        <f t="shared" si="2"/>
        <v>134</v>
      </c>
      <c r="B135" s="123">
        <f>YEAR(Table6[[#This Row],[Date]])+IF(MONTH(Table6[[#This Row],[Date]])&gt;=4,1,0)</f>
        <v>2026</v>
      </c>
      <c r="C135" s="121">
        <f>YEAR(Table6[[#This Row],[Date]])</f>
        <v>2025</v>
      </c>
      <c r="D135" s="121" t="s">
        <v>490</v>
      </c>
      <c r="E135" s="135">
        <f>Table6[[#This Row],[Date]]-DAY(Table6[[#This Row],[Date]])+1</f>
        <v>45748</v>
      </c>
      <c r="F135" s="134">
        <v>45749</v>
      </c>
      <c r="G135" s="121" t="s">
        <v>126</v>
      </c>
      <c r="H135" s="39" t="str">
        <f>_xlfn.XLOOKUP(Table6[[#This Row],[Affected WTG]],'Basic Data'!$A:$A,'Basic Data'!$B:$B)</f>
        <v>PWEGPL</v>
      </c>
      <c r="I135" s="39" t="str">
        <f>_xlfn.XLOOKUP(Table6[[#This Row],[Affected WTG]],'Basic Data'!$A:$A,'Basic Data'!$C:$C)</f>
        <v>MSEDCL</v>
      </c>
      <c r="J135" s="363">
        <f>IFERROR(VLOOKUP(Table6[[#This Row],[Affected WTG]],'Basic Data'!$A$3:$E$56,5,0),"")</f>
        <v>2.564102564102564E-2</v>
      </c>
      <c r="K135" s="121">
        <v>5210</v>
      </c>
      <c r="L135" s="39" t="str">
        <f>IFERROR(VLOOKUP(Table6[[#This Row],[Error Code]],'Basic Data'!$T:$U,2,0),"")</f>
        <v>Failure Of The Contactor's Rotor Power</v>
      </c>
      <c r="M135" s="364" t="s">
        <v>462</v>
      </c>
      <c r="O135" s="365">
        <v>0.55277777777777781</v>
      </c>
      <c r="P135" s="365">
        <v>0.55972222222222223</v>
      </c>
      <c r="Q135" s="365">
        <v>0.56041666666666667</v>
      </c>
      <c r="R135" s="366">
        <f>IF(Table6[[#This Row],[Work Start TimeStamp]]="","",(Table6[[#This Row],[Work Start TimeStamp]]-Table6[[#This Row],[Fault Start TimeStamp]])*24)</f>
        <v>0.16666666666666607</v>
      </c>
      <c r="S135" s="367">
        <f>(Table6[[#This Row],[Fault Clearance time]]-Table6[[#This Row],[Work Start TimeStamp]])*24</f>
        <v>1.6666666666666607E-2</v>
      </c>
      <c r="T135" s="368">
        <f>(Table6[[#This Row],[Fault Clearance time]]-Table6[[#This Row],[Fault Start TimeStamp]])*24</f>
        <v>0.18333333333333268</v>
      </c>
      <c r="U135" s="364" t="s">
        <v>493</v>
      </c>
      <c r="V135" s="369" t="s">
        <v>463</v>
      </c>
      <c r="W135" s="354">
        <f>Table6[[#This Row],[Breakdown Time]]*(1/39)</f>
        <v>4.7008547008546842E-3</v>
      </c>
      <c r="X135" s="352" t="s">
        <v>465</v>
      </c>
      <c r="Y135" s="370" t="s">
        <v>127</v>
      </c>
      <c r="Z135" s="121">
        <v>11088</v>
      </c>
      <c r="AA135" s="123">
        <v>84.699999999999704</v>
      </c>
      <c r="AB135" s="121" t="s">
        <v>478</v>
      </c>
    </row>
    <row r="136" spans="1:28">
      <c r="A136" s="121">
        <f t="shared" si="2"/>
        <v>135</v>
      </c>
      <c r="B136" s="123">
        <f>YEAR(Table6[[#This Row],[Date]])+IF(MONTH(Table6[[#This Row],[Date]])&gt;=4,1,0)</f>
        <v>2026</v>
      </c>
      <c r="C136" s="121">
        <f>YEAR(Table6[[#This Row],[Date]])</f>
        <v>2025</v>
      </c>
      <c r="D136" s="121" t="s">
        <v>490</v>
      </c>
      <c r="E136" s="135">
        <f>Table6[[#This Row],[Date]]-DAY(Table6[[#This Row],[Date]])+1</f>
        <v>45748</v>
      </c>
      <c r="F136" s="134">
        <v>45749</v>
      </c>
      <c r="G136" s="121" t="s">
        <v>127</v>
      </c>
      <c r="H136" s="39" t="str">
        <f>_xlfn.XLOOKUP(Table6[[#This Row],[Affected WTG]],'Basic Data'!$A:$A,'Basic Data'!$B:$B)</f>
        <v>PWEGPL</v>
      </c>
      <c r="I136" s="39" t="str">
        <f>_xlfn.XLOOKUP(Table6[[#This Row],[Affected WTG]],'Basic Data'!$A:$A,'Basic Data'!$C:$C)</f>
        <v>MSEDCL</v>
      </c>
      <c r="J136" s="363">
        <f>IFERROR(VLOOKUP(Table6[[#This Row],[Affected WTG]],'Basic Data'!$A$3:$E$56,5,0),"")</f>
        <v>2.564102564102564E-2</v>
      </c>
      <c r="K136" s="121">
        <v>5228</v>
      </c>
      <c r="L136" s="39" t="str">
        <f>IFERROR(VLOOKUP(Table6[[#This Row],[Error Code]],'Basic Data'!$T:$U,2,0),"")</f>
        <v>Preload Failure</v>
      </c>
      <c r="M136" s="364" t="s">
        <v>462</v>
      </c>
      <c r="O136" s="365">
        <v>8.1250000000000003E-2</v>
      </c>
      <c r="P136" s="365">
        <v>0.10416666666666667</v>
      </c>
      <c r="Q136" s="365">
        <v>0.14305555555555555</v>
      </c>
      <c r="R136" s="366">
        <f>IF(Table6[[#This Row],[Work Start TimeStamp]]="","",(Table6[[#This Row],[Work Start TimeStamp]]-Table6[[#This Row],[Fault Start TimeStamp]])*24)</f>
        <v>0.55000000000000004</v>
      </c>
      <c r="S136" s="367">
        <f>(Table6[[#This Row],[Fault Clearance time]]-Table6[[#This Row],[Work Start TimeStamp]])*24</f>
        <v>0.93333333333333302</v>
      </c>
      <c r="T136" s="368">
        <f>(Table6[[#This Row],[Fault Clearance time]]-Table6[[#This Row],[Fault Start TimeStamp]])*24</f>
        <v>1.4833333333333329</v>
      </c>
      <c r="U136" s="364" t="s">
        <v>526</v>
      </c>
      <c r="V136" s="369" t="s">
        <v>463</v>
      </c>
      <c r="W136" s="354">
        <f>Table6[[#This Row],[Breakdown Time]]*(1/39)</f>
        <v>3.8034188034188024E-2</v>
      </c>
      <c r="X136" s="352" t="s">
        <v>465</v>
      </c>
      <c r="Y136" s="370" t="s">
        <v>128</v>
      </c>
      <c r="Z136" s="121">
        <v>12636</v>
      </c>
      <c r="AA136" s="123">
        <v>780.9749999999998</v>
      </c>
      <c r="AB136" s="121" t="s">
        <v>478</v>
      </c>
    </row>
    <row r="137" spans="1:28">
      <c r="A137" s="121">
        <f t="shared" si="2"/>
        <v>136</v>
      </c>
      <c r="B137" s="123">
        <f>YEAR(Table6[[#This Row],[Date]])+IF(MONTH(Table6[[#This Row],[Date]])&gt;=4,1,0)</f>
        <v>2026</v>
      </c>
      <c r="C137" s="121">
        <f>YEAR(Table6[[#This Row],[Date]])</f>
        <v>2025</v>
      </c>
      <c r="D137" s="121" t="s">
        <v>490</v>
      </c>
      <c r="E137" s="135">
        <f>Table6[[#This Row],[Date]]-DAY(Table6[[#This Row],[Date]])+1</f>
        <v>45748</v>
      </c>
      <c r="F137" s="134">
        <v>45749</v>
      </c>
      <c r="G137" s="121" t="s">
        <v>127</v>
      </c>
      <c r="H137" s="39" t="str">
        <f>_xlfn.XLOOKUP(Table6[[#This Row],[Affected WTG]],'Basic Data'!$A:$A,'Basic Data'!$B:$B)</f>
        <v>PWEGPL</v>
      </c>
      <c r="I137" s="39" t="str">
        <f>_xlfn.XLOOKUP(Table6[[#This Row],[Affected WTG]],'Basic Data'!$A:$A,'Basic Data'!$C:$C)</f>
        <v>MSEDCL</v>
      </c>
      <c r="J137" s="363">
        <f>IFERROR(VLOOKUP(Table6[[#This Row],[Affected WTG]],'Basic Data'!$A$3:$E$56,5,0),"")</f>
        <v>2.564102564102564E-2</v>
      </c>
      <c r="K137" s="121">
        <v>500</v>
      </c>
      <c r="L137" s="39" t="str">
        <f>IFERROR(VLOOKUP(Table6[[#This Row],[Error Code]],'Basic Data'!$T:$U,2,0),"")</f>
        <v>High Generator Winding Temperature</v>
      </c>
      <c r="M137" s="364" t="s">
        <v>462</v>
      </c>
      <c r="O137" s="365">
        <v>0.29444444444444445</v>
      </c>
      <c r="P137" s="365">
        <v>0.29444444444444445</v>
      </c>
      <c r="Q137" s="365">
        <v>0.29791666666666666</v>
      </c>
      <c r="R137" s="366">
        <f>IF(Table6[[#This Row],[Work Start TimeStamp]]="","",(Table6[[#This Row],[Work Start TimeStamp]]-Table6[[#This Row],[Fault Start TimeStamp]])*24)</f>
        <v>0</v>
      </c>
      <c r="S137" s="367">
        <f>(Table6[[#This Row],[Fault Clearance time]]-Table6[[#This Row],[Work Start TimeStamp]])*24</f>
        <v>8.3333333333333037E-2</v>
      </c>
      <c r="T137" s="368">
        <f>(Table6[[#This Row],[Fault Clearance time]]-Table6[[#This Row],[Fault Start TimeStamp]])*24</f>
        <v>8.3333333333333037E-2</v>
      </c>
      <c r="U137" s="364" t="s">
        <v>480</v>
      </c>
      <c r="V137" s="369" t="s">
        <v>463</v>
      </c>
      <c r="W137" s="354">
        <f>Table6[[#This Row],[Breakdown Time]]*(1/39)</f>
        <v>2.1367521367521292E-3</v>
      </c>
      <c r="X137" s="352" t="s">
        <v>465</v>
      </c>
      <c r="Y137" s="370" t="s">
        <v>128</v>
      </c>
      <c r="Z137" s="121">
        <v>12636</v>
      </c>
      <c r="AA137" s="123">
        <v>43.874999999999844</v>
      </c>
      <c r="AB137" s="121" t="s">
        <v>478</v>
      </c>
    </row>
    <row r="138" spans="1:28">
      <c r="A138" s="121">
        <f t="shared" si="2"/>
        <v>137</v>
      </c>
      <c r="B138" s="123">
        <f>YEAR(Table6[[#This Row],[Date]])+IF(MONTH(Table6[[#This Row],[Date]])&gt;=4,1,0)</f>
        <v>2026</v>
      </c>
      <c r="C138" s="121">
        <f>YEAR(Table6[[#This Row],[Date]])</f>
        <v>2025</v>
      </c>
      <c r="D138" s="121" t="s">
        <v>490</v>
      </c>
      <c r="E138" s="135">
        <f>Table6[[#This Row],[Date]]-DAY(Table6[[#This Row],[Date]])+1</f>
        <v>45748</v>
      </c>
      <c r="F138" s="134">
        <v>45749</v>
      </c>
      <c r="G138" s="121" t="s">
        <v>127</v>
      </c>
      <c r="H138" s="39" t="str">
        <f>_xlfn.XLOOKUP(Table6[[#This Row],[Affected WTG]],'Basic Data'!$A:$A,'Basic Data'!$B:$B)</f>
        <v>PWEGPL</v>
      </c>
      <c r="I138" s="39" t="str">
        <f>_xlfn.XLOOKUP(Table6[[#This Row],[Affected WTG]],'Basic Data'!$A:$A,'Basic Data'!$C:$C)</f>
        <v>MSEDCL</v>
      </c>
      <c r="J138" s="363">
        <f>IFERROR(VLOOKUP(Table6[[#This Row],[Affected WTG]],'Basic Data'!$A$3:$E$56,5,0),"")</f>
        <v>2.564102564102564E-2</v>
      </c>
      <c r="K138" s="121">
        <v>500</v>
      </c>
      <c r="L138" s="39" t="str">
        <f>IFERROR(VLOOKUP(Table6[[#This Row],[Error Code]],'Basic Data'!$T:$U,2,0),"")</f>
        <v>High Generator Winding Temperature</v>
      </c>
      <c r="M138" s="364" t="s">
        <v>462</v>
      </c>
      <c r="O138" s="365">
        <v>0.30555555555555558</v>
      </c>
      <c r="P138" s="365">
        <v>0.30555555555555558</v>
      </c>
      <c r="Q138" s="365">
        <v>0.30902777777777779</v>
      </c>
      <c r="R138" s="366">
        <f>IF(Table6[[#This Row],[Work Start TimeStamp]]="","",(Table6[[#This Row],[Work Start TimeStamp]]-Table6[[#This Row],[Fault Start TimeStamp]])*24)</f>
        <v>0</v>
      </c>
      <c r="S138" s="367">
        <f>(Table6[[#This Row],[Fault Clearance time]]-Table6[[#This Row],[Work Start TimeStamp]])*24</f>
        <v>8.3333333333333037E-2</v>
      </c>
      <c r="T138" s="368">
        <f>(Table6[[#This Row],[Fault Clearance time]]-Table6[[#This Row],[Fault Start TimeStamp]])*24</f>
        <v>8.3333333333333037E-2</v>
      </c>
      <c r="U138" s="364" t="s">
        <v>480</v>
      </c>
      <c r="V138" s="369" t="s">
        <v>463</v>
      </c>
      <c r="W138" s="354">
        <f>Table6[[#This Row],[Breakdown Time]]*(1/39)</f>
        <v>2.1367521367521292E-3</v>
      </c>
      <c r="X138" s="352" t="s">
        <v>465</v>
      </c>
      <c r="Y138" s="370" t="s">
        <v>128</v>
      </c>
      <c r="Z138" s="121">
        <v>12636</v>
      </c>
      <c r="AA138" s="123">
        <v>43.874999999999844</v>
      </c>
      <c r="AB138" s="121" t="s">
        <v>478</v>
      </c>
    </row>
    <row r="139" spans="1:28">
      <c r="A139" s="121">
        <f t="shared" si="2"/>
        <v>138</v>
      </c>
      <c r="B139" s="123">
        <f>YEAR(Table6[[#This Row],[Date]])+IF(MONTH(Table6[[#This Row],[Date]])&gt;=4,1,0)</f>
        <v>2026</v>
      </c>
      <c r="C139" s="121">
        <f>YEAR(Table6[[#This Row],[Date]])</f>
        <v>2025</v>
      </c>
      <c r="D139" s="121" t="s">
        <v>490</v>
      </c>
      <c r="E139" s="135">
        <f>Table6[[#This Row],[Date]]-DAY(Table6[[#This Row],[Date]])+1</f>
        <v>45748</v>
      </c>
      <c r="F139" s="134">
        <v>45749</v>
      </c>
      <c r="G139" s="121" t="s">
        <v>127</v>
      </c>
      <c r="H139" s="39" t="str">
        <f>_xlfn.XLOOKUP(Table6[[#This Row],[Affected WTG]],'Basic Data'!$A:$A,'Basic Data'!$B:$B)</f>
        <v>PWEGPL</v>
      </c>
      <c r="I139" s="39" t="str">
        <f>_xlfn.XLOOKUP(Table6[[#This Row],[Affected WTG]],'Basic Data'!$A:$A,'Basic Data'!$C:$C)</f>
        <v>MSEDCL</v>
      </c>
      <c r="J139" s="363">
        <f>IFERROR(VLOOKUP(Table6[[#This Row],[Affected WTG]],'Basic Data'!$A$3:$E$56,5,0),"")</f>
        <v>2.564102564102564E-2</v>
      </c>
      <c r="K139" s="121">
        <v>500</v>
      </c>
      <c r="L139" s="39" t="str">
        <f>IFERROR(VLOOKUP(Table6[[#This Row],[Error Code]],'Basic Data'!$T:$U,2,0),"")</f>
        <v>High Generator Winding Temperature</v>
      </c>
      <c r="M139" s="364" t="s">
        <v>462</v>
      </c>
      <c r="O139" s="365">
        <v>0.32430555555555557</v>
      </c>
      <c r="P139" s="365">
        <v>0.32430555555555557</v>
      </c>
      <c r="Q139" s="365">
        <v>0.32777777777777778</v>
      </c>
      <c r="R139" s="366">
        <f>IF(Table6[[#This Row],[Work Start TimeStamp]]="","",(Table6[[#This Row],[Work Start TimeStamp]]-Table6[[#This Row],[Fault Start TimeStamp]])*24)</f>
        <v>0</v>
      </c>
      <c r="S139" s="367">
        <f>(Table6[[#This Row],[Fault Clearance time]]-Table6[[#This Row],[Work Start TimeStamp]])*24</f>
        <v>8.3333333333333037E-2</v>
      </c>
      <c r="T139" s="368">
        <f>(Table6[[#This Row],[Fault Clearance time]]-Table6[[#This Row],[Fault Start TimeStamp]])*24</f>
        <v>8.3333333333333037E-2</v>
      </c>
      <c r="U139" s="364" t="s">
        <v>480</v>
      </c>
      <c r="V139" s="369" t="s">
        <v>463</v>
      </c>
      <c r="W139" s="354">
        <f>Table6[[#This Row],[Breakdown Time]]*(1/39)</f>
        <v>2.1367521367521292E-3</v>
      </c>
      <c r="X139" s="352" t="s">
        <v>465</v>
      </c>
      <c r="Y139" s="370" t="s">
        <v>128</v>
      </c>
      <c r="Z139" s="121">
        <v>12636</v>
      </c>
      <c r="AA139" s="123">
        <v>43.874999999999844</v>
      </c>
      <c r="AB139" s="121" t="s">
        <v>478</v>
      </c>
    </row>
    <row r="140" spans="1:28">
      <c r="A140" s="121">
        <f t="shared" si="2"/>
        <v>139</v>
      </c>
      <c r="B140" s="123">
        <f>YEAR(Table6[[#This Row],[Date]])+IF(MONTH(Table6[[#This Row],[Date]])&gt;=4,1,0)</f>
        <v>2026</v>
      </c>
      <c r="C140" s="121">
        <f>YEAR(Table6[[#This Row],[Date]])</f>
        <v>2025</v>
      </c>
      <c r="D140" s="121" t="s">
        <v>490</v>
      </c>
      <c r="E140" s="135">
        <f>Table6[[#This Row],[Date]]-DAY(Table6[[#This Row],[Date]])+1</f>
        <v>45748</v>
      </c>
      <c r="F140" s="134">
        <v>45749</v>
      </c>
      <c r="G140" s="121" t="s">
        <v>127</v>
      </c>
      <c r="H140" s="39" t="str">
        <f>_xlfn.XLOOKUP(Table6[[#This Row],[Affected WTG]],'Basic Data'!$A:$A,'Basic Data'!$B:$B)</f>
        <v>PWEGPL</v>
      </c>
      <c r="I140" s="39" t="str">
        <f>_xlfn.XLOOKUP(Table6[[#This Row],[Affected WTG]],'Basic Data'!$A:$A,'Basic Data'!$C:$C)</f>
        <v>MSEDCL</v>
      </c>
      <c r="J140" s="363">
        <f>IFERROR(VLOOKUP(Table6[[#This Row],[Affected WTG]],'Basic Data'!$A$3:$E$56,5,0),"")</f>
        <v>2.564102564102564E-2</v>
      </c>
      <c r="K140" s="121">
        <v>500</v>
      </c>
      <c r="L140" s="39" t="str">
        <f>IFERROR(VLOOKUP(Table6[[#This Row],[Error Code]],'Basic Data'!$T:$U,2,0),"")</f>
        <v>High Generator Winding Temperature</v>
      </c>
      <c r="M140" s="364" t="s">
        <v>462</v>
      </c>
      <c r="O140" s="365">
        <v>0.34791666666666665</v>
      </c>
      <c r="P140" s="365">
        <v>0.34791666666666665</v>
      </c>
      <c r="Q140" s="365">
        <v>0.36527777777777776</v>
      </c>
      <c r="R140" s="366">
        <f>IF(Table6[[#This Row],[Work Start TimeStamp]]="","",(Table6[[#This Row],[Work Start TimeStamp]]-Table6[[#This Row],[Fault Start TimeStamp]])*24)</f>
        <v>0</v>
      </c>
      <c r="S140" s="367">
        <f>(Table6[[#This Row],[Fault Clearance time]]-Table6[[#This Row],[Work Start TimeStamp]])*24</f>
        <v>0.41666666666666652</v>
      </c>
      <c r="T140" s="368">
        <f>(Table6[[#This Row],[Fault Clearance time]]-Table6[[#This Row],[Fault Start TimeStamp]])*24</f>
        <v>0.41666666666666652</v>
      </c>
      <c r="U140" s="364" t="s">
        <v>493</v>
      </c>
      <c r="V140" s="369" t="s">
        <v>463</v>
      </c>
      <c r="W140" s="354">
        <f>Table6[[#This Row],[Breakdown Time]]*(1/39)</f>
        <v>1.0683760683760679E-2</v>
      </c>
      <c r="X140" s="352" t="s">
        <v>465</v>
      </c>
      <c r="Y140" s="370" t="s">
        <v>128</v>
      </c>
      <c r="Z140" s="121">
        <v>12636</v>
      </c>
      <c r="AA140" s="123">
        <v>219.37499999999991</v>
      </c>
      <c r="AB140" s="121" t="s">
        <v>478</v>
      </c>
    </row>
    <row r="141" spans="1:28">
      <c r="A141" s="121">
        <f t="shared" si="2"/>
        <v>140</v>
      </c>
      <c r="B141" s="123">
        <f>YEAR(Table6[[#This Row],[Date]])+IF(MONTH(Table6[[#This Row],[Date]])&gt;=4,1,0)</f>
        <v>2026</v>
      </c>
      <c r="C141" s="121">
        <f>YEAR(Table6[[#This Row],[Date]])</f>
        <v>2025</v>
      </c>
      <c r="D141" s="121" t="s">
        <v>490</v>
      </c>
      <c r="E141" s="135">
        <f>Table6[[#This Row],[Date]]-DAY(Table6[[#This Row],[Date]])+1</f>
        <v>45748</v>
      </c>
      <c r="F141" s="134">
        <v>45749</v>
      </c>
      <c r="G141" s="121" t="s">
        <v>127</v>
      </c>
      <c r="H141" s="39" t="str">
        <f>_xlfn.XLOOKUP(Table6[[#This Row],[Affected WTG]],'Basic Data'!$A:$A,'Basic Data'!$B:$B)</f>
        <v>PWEGPL</v>
      </c>
      <c r="I141" s="39" t="str">
        <f>_xlfn.XLOOKUP(Table6[[#This Row],[Affected WTG]],'Basic Data'!$A:$A,'Basic Data'!$C:$C)</f>
        <v>MSEDCL</v>
      </c>
      <c r="J141" s="363">
        <f>IFERROR(VLOOKUP(Table6[[#This Row],[Affected WTG]],'Basic Data'!$A$3:$E$56,5,0),"")</f>
        <v>2.564102564102564E-2</v>
      </c>
      <c r="K141" s="121">
        <v>500</v>
      </c>
      <c r="L141" s="39" t="str">
        <f>IFERROR(VLOOKUP(Table6[[#This Row],[Error Code]],'Basic Data'!$T:$U,2,0),"")</f>
        <v>High Generator Winding Temperature</v>
      </c>
      <c r="M141" s="364" t="s">
        <v>462</v>
      </c>
      <c r="O141" s="365">
        <v>0.4284722222222222</v>
      </c>
      <c r="P141" s="365">
        <v>0.4284722222222222</v>
      </c>
      <c r="Q141" s="365">
        <v>0.43194444444444446</v>
      </c>
      <c r="R141" s="366">
        <f>IF(Table6[[#This Row],[Work Start TimeStamp]]="","",(Table6[[#This Row],[Work Start TimeStamp]]-Table6[[#This Row],[Fault Start TimeStamp]])*24)</f>
        <v>0</v>
      </c>
      <c r="S141" s="367">
        <f>(Table6[[#This Row],[Fault Clearance time]]-Table6[[#This Row],[Work Start TimeStamp]])*24</f>
        <v>8.333333333333437E-2</v>
      </c>
      <c r="T141" s="368">
        <f>(Table6[[#This Row],[Fault Clearance time]]-Table6[[#This Row],[Fault Start TimeStamp]])*24</f>
        <v>8.333333333333437E-2</v>
      </c>
      <c r="U141" s="364" t="s">
        <v>480</v>
      </c>
      <c r="V141" s="369" t="s">
        <v>463</v>
      </c>
      <c r="W141" s="354">
        <f>Table6[[#This Row],[Breakdown Time]]*(1/39)</f>
        <v>2.1367521367521634E-3</v>
      </c>
      <c r="X141" s="352" t="s">
        <v>465</v>
      </c>
      <c r="Y141" s="370" t="s">
        <v>128</v>
      </c>
      <c r="Z141" s="121">
        <v>12636</v>
      </c>
      <c r="AA141" s="123">
        <v>43.875000000000547</v>
      </c>
      <c r="AB141" s="121" t="s">
        <v>478</v>
      </c>
    </row>
    <row r="142" spans="1:28">
      <c r="A142" s="121">
        <f t="shared" si="2"/>
        <v>141</v>
      </c>
      <c r="B142" s="123">
        <f>YEAR(Table6[[#This Row],[Date]])+IF(MONTH(Table6[[#This Row],[Date]])&gt;=4,1,0)</f>
        <v>2026</v>
      </c>
      <c r="C142" s="121">
        <f>YEAR(Table6[[#This Row],[Date]])</f>
        <v>2025</v>
      </c>
      <c r="D142" s="121" t="s">
        <v>490</v>
      </c>
      <c r="E142" s="135">
        <f>Table6[[#This Row],[Date]]-DAY(Table6[[#This Row],[Date]])+1</f>
        <v>45748</v>
      </c>
      <c r="F142" s="134">
        <v>45749</v>
      </c>
      <c r="G142" s="121" t="s">
        <v>127</v>
      </c>
      <c r="H142" s="39" t="str">
        <f>_xlfn.XLOOKUP(Table6[[#This Row],[Affected WTG]],'Basic Data'!$A:$A,'Basic Data'!$B:$B)</f>
        <v>PWEGPL</v>
      </c>
      <c r="I142" s="39" t="str">
        <f>_xlfn.XLOOKUP(Table6[[#This Row],[Affected WTG]],'Basic Data'!$A:$A,'Basic Data'!$C:$C)</f>
        <v>MSEDCL</v>
      </c>
      <c r="J142" s="363">
        <f>IFERROR(VLOOKUP(Table6[[#This Row],[Affected WTG]],'Basic Data'!$A$3:$E$56,5,0),"")</f>
        <v>2.564102564102564E-2</v>
      </c>
      <c r="K142" s="121">
        <v>500</v>
      </c>
      <c r="L142" s="39" t="str">
        <f>IFERROR(VLOOKUP(Table6[[#This Row],[Error Code]],'Basic Data'!$T:$U,2,0),"")</f>
        <v>High Generator Winding Temperature</v>
      </c>
      <c r="M142" s="364" t="s">
        <v>462</v>
      </c>
      <c r="O142" s="365">
        <v>0.44444444444444442</v>
      </c>
      <c r="P142" s="365">
        <v>0.44444444444444442</v>
      </c>
      <c r="Q142" s="365">
        <v>0.44791666666666669</v>
      </c>
      <c r="R142" s="366">
        <f>IF(Table6[[#This Row],[Work Start TimeStamp]]="","",(Table6[[#This Row],[Work Start TimeStamp]]-Table6[[#This Row],[Fault Start TimeStamp]])*24)</f>
        <v>0</v>
      </c>
      <c r="S142" s="367">
        <f>(Table6[[#This Row],[Fault Clearance time]]-Table6[[#This Row],[Work Start TimeStamp]])*24</f>
        <v>8.333333333333437E-2</v>
      </c>
      <c r="T142" s="368">
        <f>(Table6[[#This Row],[Fault Clearance time]]-Table6[[#This Row],[Fault Start TimeStamp]])*24</f>
        <v>8.333333333333437E-2</v>
      </c>
      <c r="U142" s="364" t="s">
        <v>480</v>
      </c>
      <c r="V142" s="369" t="s">
        <v>463</v>
      </c>
      <c r="W142" s="354">
        <f>Table6[[#This Row],[Breakdown Time]]*(1/39)</f>
        <v>2.1367521367521634E-3</v>
      </c>
      <c r="X142" s="352" t="s">
        <v>465</v>
      </c>
      <c r="Y142" s="370" t="s">
        <v>128</v>
      </c>
      <c r="Z142" s="121">
        <v>12636</v>
      </c>
      <c r="AA142" s="123">
        <v>43.875000000000547</v>
      </c>
      <c r="AB142" s="121" t="s">
        <v>478</v>
      </c>
    </row>
    <row r="143" spans="1:28">
      <c r="A143" s="121">
        <f t="shared" si="2"/>
        <v>142</v>
      </c>
      <c r="B143" s="123">
        <f>YEAR(Table6[[#This Row],[Date]])+IF(MONTH(Table6[[#This Row],[Date]])&gt;=4,1,0)</f>
        <v>2026</v>
      </c>
      <c r="C143" s="121">
        <f>YEAR(Table6[[#This Row],[Date]])</f>
        <v>2025</v>
      </c>
      <c r="D143" s="121" t="s">
        <v>490</v>
      </c>
      <c r="E143" s="135">
        <f>Table6[[#This Row],[Date]]-DAY(Table6[[#This Row],[Date]])+1</f>
        <v>45748</v>
      </c>
      <c r="F143" s="134">
        <v>45749</v>
      </c>
      <c r="G143" s="121" t="s">
        <v>128</v>
      </c>
      <c r="H143" s="39" t="str">
        <f>_xlfn.XLOOKUP(Table6[[#This Row],[Affected WTG]],'Basic Data'!$A:$A,'Basic Data'!$B:$B)</f>
        <v>PWEGPL</v>
      </c>
      <c r="I143" s="39" t="str">
        <f>_xlfn.XLOOKUP(Table6[[#This Row],[Affected WTG]],'Basic Data'!$A:$A,'Basic Data'!$C:$C)</f>
        <v>MSEDCL</v>
      </c>
      <c r="J143" s="363">
        <f>IFERROR(VLOOKUP(Table6[[#This Row],[Affected WTG]],'Basic Data'!$A$3:$E$56,5,0),"")</f>
        <v>2.564102564102564E-2</v>
      </c>
      <c r="K143" s="121">
        <v>5201</v>
      </c>
      <c r="L143" s="39" t="str">
        <f>IFERROR(VLOOKUP(Table6[[#This Row],[Error Code]],'Basic Data'!$T:$U,2,0),"")</f>
        <v>Magnetothermic Trigger Of The Stator Protection</v>
      </c>
      <c r="M143" s="364" t="s">
        <v>462</v>
      </c>
      <c r="O143" s="365">
        <v>0</v>
      </c>
      <c r="P143" s="365">
        <v>8.819444444444445E-2</v>
      </c>
      <c r="Q143" s="365">
        <v>9.6527777777777782E-2</v>
      </c>
      <c r="R143" s="366">
        <f>IF(Table6[[#This Row],[Work Start TimeStamp]]="","",(Table6[[#This Row],[Work Start TimeStamp]]-Table6[[#This Row],[Fault Start TimeStamp]])*24)</f>
        <v>2.1166666666666667</v>
      </c>
      <c r="S143" s="367">
        <f>(Table6[[#This Row],[Fault Clearance time]]-Table6[[#This Row],[Work Start TimeStamp]])*24</f>
        <v>0.19999999999999996</v>
      </c>
      <c r="T143" s="368">
        <f>(Table6[[#This Row],[Fault Clearance time]]-Table6[[#This Row],[Fault Start TimeStamp]])*24</f>
        <v>2.3166666666666669</v>
      </c>
      <c r="U143" s="364" t="s">
        <v>493</v>
      </c>
      <c r="V143" s="369" t="s">
        <v>463</v>
      </c>
      <c r="W143" s="354">
        <f>Table6[[#This Row],[Breakdown Time]]*(1/39)</f>
        <v>5.9401709401709406E-2</v>
      </c>
      <c r="X143" s="352" t="s">
        <v>465</v>
      </c>
      <c r="Y143" s="370" t="s">
        <v>129</v>
      </c>
      <c r="Z143" s="121">
        <v>14796</v>
      </c>
      <c r="AA143" s="123">
        <v>1428.2250000000001</v>
      </c>
      <c r="AB143" s="121" t="s">
        <v>478</v>
      </c>
    </row>
    <row r="144" spans="1:28">
      <c r="A144" s="121">
        <f t="shared" si="2"/>
        <v>143</v>
      </c>
      <c r="B144" s="123">
        <f>YEAR(Table6[[#This Row],[Date]])+IF(MONTH(Table6[[#This Row],[Date]])&gt;=4,1,0)</f>
        <v>2026</v>
      </c>
      <c r="C144" s="121">
        <f>YEAR(Table6[[#This Row],[Date]])</f>
        <v>2025</v>
      </c>
      <c r="D144" s="121" t="s">
        <v>490</v>
      </c>
      <c r="E144" s="135">
        <f>Table6[[#This Row],[Date]]-DAY(Table6[[#This Row],[Date]])+1</f>
        <v>45748</v>
      </c>
      <c r="F144" s="134">
        <v>45749</v>
      </c>
      <c r="G144" s="121" t="s">
        <v>130</v>
      </c>
      <c r="H144" s="39" t="str">
        <f>_xlfn.XLOOKUP(Table6[[#This Row],[Affected WTG]],'Basic Data'!$A:$A,'Basic Data'!$B:$B)</f>
        <v>PWEGPL</v>
      </c>
      <c r="I144" s="39" t="str">
        <f>_xlfn.XLOOKUP(Table6[[#This Row],[Affected WTG]],'Basic Data'!$A:$A,'Basic Data'!$C:$C)</f>
        <v>MSEDCL</v>
      </c>
      <c r="J144" s="363">
        <f>IFERROR(VLOOKUP(Table6[[#This Row],[Affected WTG]],'Basic Data'!$A$3:$E$56,5,0),"")</f>
        <v>2.564102564102564E-2</v>
      </c>
      <c r="K144" s="121">
        <v>2118</v>
      </c>
      <c r="L144" s="39" t="str">
        <f>IFERROR(VLOOKUP(Table6[[#This Row],[Error Code]],'Basic Data'!$T:$U,2,0),"")</f>
        <v>Bus Error - Interbus Failure</v>
      </c>
      <c r="M144" s="364" t="s">
        <v>462</v>
      </c>
      <c r="O144" s="365">
        <v>0</v>
      </c>
      <c r="P144" s="365">
        <v>1.2500000000000001E-2</v>
      </c>
      <c r="Q144" s="365">
        <v>1.9444444444444445E-2</v>
      </c>
      <c r="R144" s="366">
        <f>IF(Table6[[#This Row],[Work Start TimeStamp]]="","",(Table6[[#This Row],[Work Start TimeStamp]]-Table6[[#This Row],[Fault Start TimeStamp]])*24)</f>
        <v>0.30000000000000004</v>
      </c>
      <c r="S144" s="367">
        <f>(Table6[[#This Row],[Fault Clearance time]]-Table6[[#This Row],[Work Start TimeStamp]])*24</f>
        <v>0.16666666666666666</v>
      </c>
      <c r="T144" s="368">
        <f>(Table6[[#This Row],[Fault Clearance time]]-Table6[[#This Row],[Fault Start TimeStamp]])*24</f>
        <v>0.46666666666666667</v>
      </c>
      <c r="U144" s="364" t="s">
        <v>491</v>
      </c>
      <c r="V144" s="369" t="s">
        <v>463</v>
      </c>
      <c r="W144" s="354">
        <f>Table6[[#This Row],[Breakdown Time]]*(1/39)</f>
        <v>1.1965811965811965E-2</v>
      </c>
      <c r="X144" s="352" t="s">
        <v>465</v>
      </c>
      <c r="Y144" s="370" t="s">
        <v>131</v>
      </c>
      <c r="Z144" s="121">
        <v>15820</v>
      </c>
      <c r="AA144" s="123">
        <v>307.61111111111109</v>
      </c>
      <c r="AB144" s="121" t="s">
        <v>478</v>
      </c>
    </row>
    <row r="145" spans="1:28">
      <c r="A145" s="121">
        <f t="shared" si="2"/>
        <v>144</v>
      </c>
      <c r="B145" s="123">
        <f>YEAR(Table6[[#This Row],[Date]])+IF(MONTH(Table6[[#This Row],[Date]])&gt;=4,1,0)</f>
        <v>2026</v>
      </c>
      <c r="C145" s="121">
        <f>YEAR(Table6[[#This Row],[Date]])</f>
        <v>2025</v>
      </c>
      <c r="D145" s="121" t="s">
        <v>490</v>
      </c>
      <c r="E145" s="135">
        <f>Table6[[#This Row],[Date]]-DAY(Table6[[#This Row],[Date]])+1</f>
        <v>45748</v>
      </c>
      <c r="F145" s="134">
        <v>45749</v>
      </c>
      <c r="G145" s="121" t="s">
        <v>130</v>
      </c>
      <c r="H145" s="39" t="str">
        <f>_xlfn.XLOOKUP(Table6[[#This Row],[Affected WTG]],'Basic Data'!$A:$A,'Basic Data'!$B:$B)</f>
        <v>PWEGPL</v>
      </c>
      <c r="I145" s="39" t="str">
        <f>_xlfn.XLOOKUP(Table6[[#This Row],[Affected WTG]],'Basic Data'!$A:$A,'Basic Data'!$C:$C)</f>
        <v>MSEDCL</v>
      </c>
      <c r="J145" s="363">
        <f>IFERROR(VLOOKUP(Table6[[#This Row],[Affected WTG]],'Basic Data'!$A$3:$E$56,5,0),"")</f>
        <v>2.564102564102564E-2</v>
      </c>
      <c r="K145" s="121">
        <v>444</v>
      </c>
      <c r="L145" s="39" t="str">
        <f>IFERROR(VLOOKUP(Table6[[#This Row],[Error Code]],'Basic Data'!$T:$U,2,0),"")</f>
        <v>Gearbox Pump Thermal Relay Triggered and High Gearbox Oil Temperature</v>
      </c>
      <c r="M145" s="364" t="s">
        <v>462</v>
      </c>
      <c r="O145" s="365">
        <v>0.14166666666666666</v>
      </c>
      <c r="P145" s="365">
        <v>0.14166666666666666</v>
      </c>
      <c r="Q145" s="365">
        <v>0.38055555555555554</v>
      </c>
      <c r="R145" s="366">
        <f>IF(Table6[[#This Row],[Work Start TimeStamp]]="","",(Table6[[#This Row],[Work Start TimeStamp]]-Table6[[#This Row],[Fault Start TimeStamp]])*24)</f>
        <v>0</v>
      </c>
      <c r="S145" s="367">
        <f>(Table6[[#This Row],[Fault Clearance time]]-Table6[[#This Row],[Work Start TimeStamp]])*24</f>
        <v>5.7333333333333325</v>
      </c>
      <c r="T145" s="368">
        <f>(Table6[[#This Row],[Fault Clearance time]]-Table6[[#This Row],[Fault Start TimeStamp]])*24</f>
        <v>5.7333333333333325</v>
      </c>
      <c r="U145" s="364" t="s">
        <v>493</v>
      </c>
      <c r="V145" s="369" t="s">
        <v>463</v>
      </c>
      <c r="W145" s="354">
        <f>Table6[[#This Row],[Breakdown Time]]*(1/39)</f>
        <v>0.14700854700854699</v>
      </c>
      <c r="X145" s="352" t="s">
        <v>465</v>
      </c>
      <c r="Y145" s="370" t="s">
        <v>131</v>
      </c>
      <c r="Z145" s="121">
        <v>15820</v>
      </c>
      <c r="AA145" s="123">
        <v>3779.2222222222213</v>
      </c>
      <c r="AB145" s="121" t="s">
        <v>478</v>
      </c>
    </row>
    <row r="146" spans="1:28">
      <c r="A146" s="121">
        <f t="shared" si="2"/>
        <v>145</v>
      </c>
      <c r="B146" s="123">
        <f>YEAR(Table6[[#This Row],[Date]])+IF(MONTH(Table6[[#This Row],[Date]])&gt;=4,1,0)</f>
        <v>2026</v>
      </c>
      <c r="C146" s="121">
        <f>YEAR(Table6[[#This Row],[Date]])</f>
        <v>2025</v>
      </c>
      <c r="D146" s="121" t="s">
        <v>490</v>
      </c>
      <c r="E146" s="135">
        <f>Table6[[#This Row],[Date]]-DAY(Table6[[#This Row],[Date]])+1</f>
        <v>45748</v>
      </c>
      <c r="F146" s="134">
        <v>45749</v>
      </c>
      <c r="G146" s="121" t="s">
        <v>130</v>
      </c>
      <c r="H146" s="39" t="str">
        <f>_xlfn.XLOOKUP(Table6[[#This Row],[Affected WTG]],'Basic Data'!$A:$A,'Basic Data'!$B:$B)</f>
        <v>PWEGPL</v>
      </c>
      <c r="I146" s="39" t="str">
        <f>_xlfn.XLOOKUP(Table6[[#This Row],[Affected WTG]],'Basic Data'!$A:$A,'Basic Data'!$C:$C)</f>
        <v>MSEDCL</v>
      </c>
      <c r="J146" s="363">
        <f>IFERROR(VLOOKUP(Table6[[#This Row],[Affected WTG]],'Basic Data'!$A$3:$E$56,5,0),"")</f>
        <v>2.564102564102564E-2</v>
      </c>
      <c r="K146" s="121">
        <v>412</v>
      </c>
      <c r="L146" s="39" t="str">
        <f>IFERROR(VLOOKUP(Table6[[#This Row],[Error Code]],'Basic Data'!$T:$U,2,0),"")</f>
        <v>Gearbox Fan Thermal Relays</v>
      </c>
      <c r="M146" s="364" t="s">
        <v>462</v>
      </c>
      <c r="O146" s="365">
        <v>0.3840277777777778</v>
      </c>
      <c r="P146" s="365">
        <v>0.3840277777777778</v>
      </c>
      <c r="Q146" s="365">
        <v>0.50069444444444444</v>
      </c>
      <c r="R146" s="366">
        <f>IF(Table6[[#This Row],[Work Start TimeStamp]]="","",(Table6[[#This Row],[Work Start TimeStamp]]-Table6[[#This Row],[Fault Start TimeStamp]])*24)</f>
        <v>0</v>
      </c>
      <c r="S146" s="367">
        <f>(Table6[[#This Row],[Fault Clearance time]]-Table6[[#This Row],[Work Start TimeStamp]])*24</f>
        <v>2.7999999999999994</v>
      </c>
      <c r="T146" s="368">
        <f>(Table6[[#This Row],[Fault Clearance time]]-Table6[[#This Row],[Fault Start TimeStamp]])*24</f>
        <v>2.7999999999999994</v>
      </c>
      <c r="U146" s="364" t="s">
        <v>493</v>
      </c>
      <c r="V146" s="369" t="s">
        <v>463</v>
      </c>
      <c r="W146" s="354">
        <f>Table6[[#This Row],[Breakdown Time]]*(1/39)</f>
        <v>7.1794871794871776E-2</v>
      </c>
      <c r="X146" s="352" t="s">
        <v>465</v>
      </c>
      <c r="Y146" s="370" t="s">
        <v>131</v>
      </c>
      <c r="Z146" s="121">
        <v>15820</v>
      </c>
      <c r="AA146" s="123">
        <v>1845.6666666666661</v>
      </c>
      <c r="AB146" s="121" t="s">
        <v>478</v>
      </c>
    </row>
    <row r="147" spans="1:28">
      <c r="A147" s="121">
        <f t="shared" si="2"/>
        <v>146</v>
      </c>
      <c r="B147" s="123">
        <f>YEAR(Table6[[#This Row],[Date]])+IF(MONTH(Table6[[#This Row],[Date]])&gt;=4,1,0)</f>
        <v>2026</v>
      </c>
      <c r="C147" s="121">
        <f>YEAR(Table6[[#This Row],[Date]])</f>
        <v>2025</v>
      </c>
      <c r="D147" s="121" t="s">
        <v>490</v>
      </c>
      <c r="E147" s="135">
        <f>Table6[[#This Row],[Date]]-DAY(Table6[[#This Row],[Date]])+1</f>
        <v>45748</v>
      </c>
      <c r="F147" s="134">
        <v>45749</v>
      </c>
      <c r="G147" s="121" t="s">
        <v>131</v>
      </c>
      <c r="H147" s="39" t="str">
        <f>_xlfn.XLOOKUP(Table6[[#This Row],[Affected WTG]],'Basic Data'!$A:$A,'Basic Data'!$B:$B)</f>
        <v>PWEGPL</v>
      </c>
      <c r="I147" s="39" t="str">
        <f>_xlfn.XLOOKUP(Table6[[#This Row],[Affected WTG]],'Basic Data'!$A:$A,'Basic Data'!$C:$C)</f>
        <v>MSEDCL</v>
      </c>
      <c r="J147" s="363">
        <f>IFERROR(VLOOKUP(Table6[[#This Row],[Affected WTG]],'Basic Data'!$A$3:$E$56,5,0),"")</f>
        <v>2.564102564102564E-2</v>
      </c>
      <c r="K147" s="121">
        <v>5201</v>
      </c>
      <c r="L147" s="39" t="str">
        <f>IFERROR(VLOOKUP(Table6[[#This Row],[Error Code]],'Basic Data'!$T:$U,2,0),"")</f>
        <v>Magnetothermic Trigger Of The Stator Protection</v>
      </c>
      <c r="M147" s="364" t="s">
        <v>462</v>
      </c>
      <c r="O147" s="365">
        <v>0</v>
      </c>
      <c r="P147" s="365">
        <v>2.7083333333333334E-2</v>
      </c>
      <c r="Q147" s="365">
        <v>4.2361111111111113E-2</v>
      </c>
      <c r="R147" s="366">
        <f>IF(Table6[[#This Row],[Work Start TimeStamp]]="","",(Table6[[#This Row],[Work Start TimeStamp]]-Table6[[#This Row],[Fault Start TimeStamp]])*24)</f>
        <v>0.65</v>
      </c>
      <c r="S147" s="367">
        <f>(Table6[[#This Row],[Fault Clearance time]]-Table6[[#This Row],[Work Start TimeStamp]])*24</f>
        <v>0.3666666666666667</v>
      </c>
      <c r="T147" s="368">
        <f>(Table6[[#This Row],[Fault Clearance time]]-Table6[[#This Row],[Fault Start TimeStamp]])*24</f>
        <v>1.0166666666666666</v>
      </c>
      <c r="U147" s="364" t="s">
        <v>491</v>
      </c>
      <c r="V147" s="369" t="s">
        <v>463</v>
      </c>
      <c r="W147" s="354">
        <f>Table6[[#This Row],[Breakdown Time]]*(1/39)</f>
        <v>2.6068376068376066E-2</v>
      </c>
      <c r="X147" s="352" t="s">
        <v>465</v>
      </c>
      <c r="Y147" s="370" t="s">
        <v>130</v>
      </c>
      <c r="Z147" s="121">
        <v>7036</v>
      </c>
      <c r="AA147" s="123">
        <v>298.05277777777781</v>
      </c>
      <c r="AB147" s="121" t="s">
        <v>478</v>
      </c>
    </row>
    <row r="148" spans="1:28">
      <c r="A148" s="121">
        <f t="shared" si="2"/>
        <v>147</v>
      </c>
      <c r="B148" s="123">
        <f>YEAR(Table6[[#This Row],[Date]])+IF(MONTH(Table6[[#This Row],[Date]])&gt;=4,1,0)</f>
        <v>2026</v>
      </c>
      <c r="C148" s="121">
        <f>YEAR(Table6[[#This Row],[Date]])</f>
        <v>2025</v>
      </c>
      <c r="D148" s="121" t="s">
        <v>490</v>
      </c>
      <c r="E148" s="135">
        <f>Table6[[#This Row],[Date]]-DAY(Table6[[#This Row],[Date]])+1</f>
        <v>45748</v>
      </c>
      <c r="F148" s="134">
        <v>45749</v>
      </c>
      <c r="G148" s="121" t="s">
        <v>131</v>
      </c>
      <c r="H148" s="39" t="str">
        <f>_xlfn.XLOOKUP(Table6[[#This Row],[Affected WTG]],'Basic Data'!$A:$A,'Basic Data'!$B:$B)</f>
        <v>PWEGPL</v>
      </c>
      <c r="I148" s="39" t="str">
        <f>_xlfn.XLOOKUP(Table6[[#This Row],[Affected WTG]],'Basic Data'!$A:$A,'Basic Data'!$C:$C)</f>
        <v>MSEDCL</v>
      </c>
      <c r="J148" s="363">
        <f>IFERROR(VLOOKUP(Table6[[#This Row],[Affected WTG]],'Basic Data'!$A$3:$E$56,5,0),"")</f>
        <v>2.564102564102564E-2</v>
      </c>
      <c r="K148" s="121">
        <v>5201</v>
      </c>
      <c r="L148" s="39" t="str">
        <f>IFERROR(VLOOKUP(Table6[[#This Row],[Error Code]],'Basic Data'!$T:$U,2,0),"")</f>
        <v>Magnetothermic Trigger Of The Stator Protection</v>
      </c>
      <c r="M148" s="364" t="s">
        <v>462</v>
      </c>
      <c r="O148" s="365">
        <v>0.33611111111111114</v>
      </c>
      <c r="P148" s="365">
        <v>0.33611111111111114</v>
      </c>
      <c r="Q148" s="365">
        <v>0.33958333333333335</v>
      </c>
      <c r="R148" s="366">
        <f>IF(Table6[[#This Row],[Work Start TimeStamp]]="","",(Table6[[#This Row],[Work Start TimeStamp]]-Table6[[#This Row],[Fault Start TimeStamp]])*24)</f>
        <v>0</v>
      </c>
      <c r="S148" s="367">
        <f>(Table6[[#This Row],[Fault Clearance time]]-Table6[[#This Row],[Work Start TimeStamp]])*24</f>
        <v>8.3333333333333037E-2</v>
      </c>
      <c r="T148" s="368">
        <f>(Table6[[#This Row],[Fault Clearance time]]-Table6[[#This Row],[Fault Start TimeStamp]])*24</f>
        <v>8.3333333333333037E-2</v>
      </c>
      <c r="U148" s="364" t="s">
        <v>480</v>
      </c>
      <c r="V148" s="369" t="s">
        <v>463</v>
      </c>
      <c r="W148" s="354">
        <f>Table6[[#This Row],[Breakdown Time]]*(1/39)</f>
        <v>2.1367521367521292E-3</v>
      </c>
      <c r="X148" s="352" t="s">
        <v>465</v>
      </c>
      <c r="Y148" s="370" t="s">
        <v>130</v>
      </c>
      <c r="Z148" s="121">
        <v>7036</v>
      </c>
      <c r="AA148" s="123">
        <v>24.430555555555472</v>
      </c>
      <c r="AB148" s="121" t="s">
        <v>478</v>
      </c>
    </row>
    <row r="149" spans="1:28">
      <c r="A149" s="121">
        <f t="shared" si="2"/>
        <v>148</v>
      </c>
      <c r="B149" s="123">
        <f>YEAR(Table6[[#This Row],[Date]])+IF(MONTH(Table6[[#This Row],[Date]])&gt;=4,1,0)</f>
        <v>2026</v>
      </c>
      <c r="C149" s="121">
        <f>YEAR(Table6[[#This Row],[Date]])</f>
        <v>2025</v>
      </c>
      <c r="D149" s="121" t="s">
        <v>490</v>
      </c>
      <c r="E149" s="135">
        <f>Table6[[#This Row],[Date]]-DAY(Table6[[#This Row],[Date]])+1</f>
        <v>45748</v>
      </c>
      <c r="F149" s="134">
        <v>45749</v>
      </c>
      <c r="G149" s="121" t="s">
        <v>132</v>
      </c>
      <c r="H149" s="39" t="str">
        <f>_xlfn.XLOOKUP(Table6[[#This Row],[Affected WTG]],'Basic Data'!$A:$A,'Basic Data'!$B:$B)</f>
        <v>PWEGPL</v>
      </c>
      <c r="I149" s="39" t="str">
        <f>_xlfn.XLOOKUP(Table6[[#This Row],[Affected WTG]],'Basic Data'!$A:$A,'Basic Data'!$C:$C)</f>
        <v>MSEDCL</v>
      </c>
      <c r="J149" s="363">
        <f>IFERROR(VLOOKUP(Table6[[#This Row],[Affected WTG]],'Basic Data'!$A$3:$E$56,5,0),"")</f>
        <v>2.564102564102564E-2</v>
      </c>
      <c r="K149" s="121">
        <v>812</v>
      </c>
      <c r="L149" s="39" t="str">
        <f>IFERROR(VLOOKUP(Table6[[#This Row],[Error Code]],'Basic Data'!$T:$U,2,0),"")</f>
        <v>Blade Position Meas. Error</v>
      </c>
      <c r="M149" s="364" t="s">
        <v>462</v>
      </c>
      <c r="O149" s="365">
        <v>0.33958333333333335</v>
      </c>
      <c r="P149" s="365">
        <v>0.33958333333333335</v>
      </c>
      <c r="Q149" s="365">
        <v>0.34305555555555556</v>
      </c>
      <c r="R149" s="366">
        <f>IF(Table6[[#This Row],[Work Start TimeStamp]]="","",(Table6[[#This Row],[Work Start TimeStamp]]-Table6[[#This Row],[Fault Start TimeStamp]])*24)</f>
        <v>0</v>
      </c>
      <c r="S149" s="367">
        <f>(Table6[[#This Row],[Fault Clearance time]]-Table6[[#This Row],[Work Start TimeStamp]])*24</f>
        <v>8.3333333333333037E-2</v>
      </c>
      <c r="T149" s="368">
        <f>(Table6[[#This Row],[Fault Clearance time]]-Table6[[#This Row],[Fault Start TimeStamp]])*24</f>
        <v>8.3333333333333037E-2</v>
      </c>
      <c r="U149" s="364" t="s">
        <v>480</v>
      </c>
      <c r="V149" s="369" t="s">
        <v>463</v>
      </c>
      <c r="W149" s="354">
        <f>Table6[[#This Row],[Breakdown Time]]*(1/39)</f>
        <v>2.1367521367521292E-3</v>
      </c>
      <c r="X149" s="352" t="s">
        <v>465</v>
      </c>
      <c r="Y149" s="370" t="s">
        <v>133</v>
      </c>
      <c r="Z149" s="121">
        <v>17394</v>
      </c>
      <c r="AA149" s="123">
        <v>60.395833333333115</v>
      </c>
      <c r="AB149" s="121" t="s">
        <v>478</v>
      </c>
    </row>
    <row r="150" spans="1:28">
      <c r="A150" s="121">
        <f t="shared" si="2"/>
        <v>149</v>
      </c>
      <c r="B150" s="123">
        <f>YEAR(Table6[[#This Row],[Date]])+IF(MONTH(Table6[[#This Row],[Date]])&gt;=4,1,0)</f>
        <v>2026</v>
      </c>
      <c r="C150" s="121">
        <f>YEAR(Table6[[#This Row],[Date]])</f>
        <v>2025</v>
      </c>
      <c r="D150" s="121" t="s">
        <v>490</v>
      </c>
      <c r="E150" s="135">
        <f>Table6[[#This Row],[Date]]-DAY(Table6[[#This Row],[Date]])+1</f>
        <v>45748</v>
      </c>
      <c r="F150" s="134">
        <v>45749</v>
      </c>
      <c r="G150" s="121" t="s">
        <v>136</v>
      </c>
      <c r="H150" s="39" t="str">
        <f>_xlfn.XLOOKUP(Table6[[#This Row],[Affected WTG]],'Basic Data'!$A:$A,'Basic Data'!$B:$B)</f>
        <v>PWEGPL</v>
      </c>
      <c r="I150" s="39" t="str">
        <f>_xlfn.XLOOKUP(Table6[[#This Row],[Affected WTG]],'Basic Data'!$A:$A,'Basic Data'!$C:$C)</f>
        <v>MSEDCL</v>
      </c>
      <c r="J150" s="363">
        <f>IFERROR(VLOOKUP(Table6[[#This Row],[Affected WTG]],'Basic Data'!$A$3:$E$56,5,0),"")</f>
        <v>2.564102564102564E-2</v>
      </c>
      <c r="K150" s="121">
        <v>5228</v>
      </c>
      <c r="L150" s="39" t="str">
        <f>IFERROR(VLOOKUP(Table6[[#This Row],[Error Code]],'Basic Data'!$T:$U,2,0),"")</f>
        <v>Preload Failure</v>
      </c>
      <c r="M150" s="364" t="s">
        <v>462</v>
      </c>
      <c r="O150" s="365">
        <v>0</v>
      </c>
      <c r="P150" s="365">
        <v>0.43472222222222223</v>
      </c>
      <c r="Q150" s="365">
        <v>0.45416666666666666</v>
      </c>
      <c r="R150" s="366">
        <f>IF(Table6[[#This Row],[Work Start TimeStamp]]="","",(Table6[[#This Row],[Work Start TimeStamp]]-Table6[[#This Row],[Fault Start TimeStamp]])*24)</f>
        <v>10.433333333333334</v>
      </c>
      <c r="S150" s="367">
        <f>(Table6[[#This Row],[Fault Clearance time]]-Table6[[#This Row],[Work Start TimeStamp]])*24</f>
        <v>0.46666666666666634</v>
      </c>
      <c r="T150" s="368">
        <f>(Table6[[#This Row],[Fault Clearance time]]-Table6[[#This Row],[Fault Start TimeStamp]])*24</f>
        <v>10.9</v>
      </c>
      <c r="U150" s="364" t="s">
        <v>527</v>
      </c>
      <c r="V150" s="369" t="s">
        <v>463</v>
      </c>
      <c r="W150" s="354">
        <f>Table6[[#This Row],[Breakdown Time]]*(1/39)</f>
        <v>0.27948717948717949</v>
      </c>
      <c r="X150" s="352" t="s">
        <v>465</v>
      </c>
      <c r="Y150" s="370" t="s">
        <v>119</v>
      </c>
      <c r="Z150" s="121">
        <v>11540</v>
      </c>
      <c r="AA150" s="123">
        <v>5241.083333333333</v>
      </c>
      <c r="AB150" s="121" t="s">
        <v>478</v>
      </c>
    </row>
    <row r="151" spans="1:28">
      <c r="A151" s="121">
        <f t="shared" si="2"/>
        <v>150</v>
      </c>
      <c r="B151" s="123">
        <f>YEAR(Table6[[#This Row],[Date]])+IF(MONTH(Table6[[#This Row],[Date]])&gt;=4,1,0)</f>
        <v>2026</v>
      </c>
      <c r="C151" s="121">
        <f>YEAR(Table6[[#This Row],[Date]])</f>
        <v>2025</v>
      </c>
      <c r="D151" s="121" t="s">
        <v>490</v>
      </c>
      <c r="E151" s="135">
        <f>Table6[[#This Row],[Date]]-DAY(Table6[[#This Row],[Date]])+1</f>
        <v>45748</v>
      </c>
      <c r="F151" s="134">
        <v>45749</v>
      </c>
      <c r="G151" s="121" t="s">
        <v>136</v>
      </c>
      <c r="H151" s="39" t="str">
        <f>_xlfn.XLOOKUP(Table6[[#This Row],[Affected WTG]],'Basic Data'!$A:$A,'Basic Data'!$B:$B)</f>
        <v>PWEGPL</v>
      </c>
      <c r="I151" s="39" t="str">
        <f>_xlfn.XLOOKUP(Table6[[#This Row],[Affected WTG]],'Basic Data'!$A:$A,'Basic Data'!$C:$C)</f>
        <v>MSEDCL</v>
      </c>
      <c r="J151" s="363">
        <f>IFERROR(VLOOKUP(Table6[[#This Row],[Affected WTG]],'Basic Data'!$A$3:$E$56,5,0),"")</f>
        <v>2.564102564102564E-2</v>
      </c>
      <c r="K151" s="121">
        <v>800</v>
      </c>
      <c r="L151" s="39" t="str">
        <f>IFERROR(VLOOKUP(Table6[[#This Row],[Error Code]],'Basic Data'!$T:$U,2,0),"")</f>
        <v>Pitch Drive Error</v>
      </c>
      <c r="M151" s="364" t="s">
        <v>462</v>
      </c>
      <c r="O151" s="365">
        <v>0.50972222222222219</v>
      </c>
      <c r="P151" s="365">
        <v>0.50972222222222219</v>
      </c>
      <c r="Q151" s="365">
        <v>0.51666666666666672</v>
      </c>
      <c r="R151" s="366">
        <f>IF(Table6[[#This Row],[Work Start TimeStamp]]="","",(Table6[[#This Row],[Work Start TimeStamp]]-Table6[[#This Row],[Fault Start TimeStamp]])*24)</f>
        <v>0</v>
      </c>
      <c r="S151" s="367">
        <f>(Table6[[#This Row],[Fault Clearance time]]-Table6[[#This Row],[Work Start TimeStamp]])*24</f>
        <v>0.16666666666666874</v>
      </c>
      <c r="T151" s="368">
        <f>(Table6[[#This Row],[Fault Clearance time]]-Table6[[#This Row],[Fault Start TimeStamp]])*24</f>
        <v>0.16666666666666874</v>
      </c>
      <c r="U151" s="364" t="s">
        <v>480</v>
      </c>
      <c r="V151" s="369" t="s">
        <v>463</v>
      </c>
      <c r="W151" s="354">
        <f>Table6[[#This Row],[Breakdown Time]]*(1/39)</f>
        <v>4.2735042735043268E-3</v>
      </c>
      <c r="X151" s="352" t="s">
        <v>465</v>
      </c>
      <c r="Y151" s="370" t="s">
        <v>119</v>
      </c>
      <c r="Z151" s="121">
        <v>11540</v>
      </c>
      <c r="AA151" s="123">
        <v>80.13888888888988</v>
      </c>
      <c r="AB151" s="121" t="s">
        <v>478</v>
      </c>
    </row>
    <row r="152" spans="1:28">
      <c r="A152" s="121">
        <f t="shared" si="2"/>
        <v>151</v>
      </c>
      <c r="B152" s="123">
        <f>YEAR(Table6[[#This Row],[Date]])+IF(MONTH(Table6[[#This Row],[Date]])&gt;=4,1,0)</f>
        <v>2026</v>
      </c>
      <c r="C152" s="121">
        <f>YEAR(Table6[[#This Row],[Date]])</f>
        <v>2025</v>
      </c>
      <c r="D152" s="121" t="s">
        <v>490</v>
      </c>
      <c r="E152" s="135">
        <f>Table6[[#This Row],[Date]]-DAY(Table6[[#This Row],[Date]])+1</f>
        <v>45748</v>
      </c>
      <c r="F152" s="134">
        <v>45749</v>
      </c>
      <c r="G152" s="121" t="s">
        <v>136</v>
      </c>
      <c r="H152" s="39" t="str">
        <f>_xlfn.XLOOKUP(Table6[[#This Row],[Affected WTG]],'Basic Data'!$A:$A,'Basic Data'!$B:$B)</f>
        <v>PWEGPL</v>
      </c>
      <c r="I152" s="39" t="str">
        <f>_xlfn.XLOOKUP(Table6[[#This Row],[Affected WTG]],'Basic Data'!$A:$A,'Basic Data'!$C:$C)</f>
        <v>MSEDCL</v>
      </c>
      <c r="J152" s="363">
        <f>IFERROR(VLOOKUP(Table6[[#This Row],[Affected WTG]],'Basic Data'!$A$3:$E$56,5,0),"")</f>
        <v>2.564102564102564E-2</v>
      </c>
      <c r="K152" s="121">
        <v>5201</v>
      </c>
      <c r="L152" s="39" t="str">
        <f>IFERROR(VLOOKUP(Table6[[#This Row],[Error Code]],'Basic Data'!$T:$U,2,0),"")</f>
        <v>Magnetothermic Trigger Of The Stator Protection</v>
      </c>
      <c r="M152" s="364" t="s">
        <v>462</v>
      </c>
      <c r="O152" s="365">
        <v>0.56874999999999998</v>
      </c>
      <c r="P152" s="365">
        <v>0.56874999999999998</v>
      </c>
      <c r="Q152" s="365">
        <v>0.61736111111111114</v>
      </c>
      <c r="R152" s="366">
        <f>IF(Table6[[#This Row],[Work Start TimeStamp]]="","",(Table6[[#This Row],[Work Start TimeStamp]]-Table6[[#This Row],[Fault Start TimeStamp]])*24)</f>
        <v>0</v>
      </c>
      <c r="S152" s="367">
        <f>(Table6[[#This Row],[Fault Clearance time]]-Table6[[#This Row],[Work Start TimeStamp]])*24</f>
        <v>1.1666666666666679</v>
      </c>
      <c r="T152" s="368">
        <f>(Table6[[#This Row],[Fault Clearance time]]-Table6[[#This Row],[Fault Start TimeStamp]])*24</f>
        <v>1.1666666666666679</v>
      </c>
      <c r="U152" s="364" t="s">
        <v>493</v>
      </c>
      <c r="V152" s="369" t="s">
        <v>463</v>
      </c>
      <c r="W152" s="354">
        <f>Table6[[#This Row],[Breakdown Time]]*(1/39)</f>
        <v>2.9914529914529944E-2</v>
      </c>
      <c r="X152" s="352" t="s">
        <v>465</v>
      </c>
      <c r="Y152" s="370" t="s">
        <v>119</v>
      </c>
      <c r="Z152" s="121">
        <v>11540</v>
      </c>
      <c r="AA152" s="123">
        <v>560.97222222222274</v>
      </c>
      <c r="AB152" s="121" t="s">
        <v>478</v>
      </c>
    </row>
    <row r="153" spans="1:28">
      <c r="A153" s="121">
        <f t="shared" si="2"/>
        <v>152</v>
      </c>
      <c r="B153" s="123">
        <f>YEAR(Table6[[#This Row],[Date]])+IF(MONTH(Table6[[#This Row],[Date]])&gt;=4,1,0)</f>
        <v>2026</v>
      </c>
      <c r="C153" s="121">
        <f>YEAR(Table6[[#This Row],[Date]])</f>
        <v>2025</v>
      </c>
      <c r="D153" s="121" t="s">
        <v>490</v>
      </c>
      <c r="E153" s="135">
        <f>Table6[[#This Row],[Date]]-DAY(Table6[[#This Row],[Date]])+1</f>
        <v>45748</v>
      </c>
      <c r="F153" s="134">
        <v>45749</v>
      </c>
      <c r="G153" s="121" t="s">
        <v>136</v>
      </c>
      <c r="H153" s="39" t="str">
        <f>_xlfn.XLOOKUP(Table6[[#This Row],[Affected WTG]],'Basic Data'!$A:$A,'Basic Data'!$B:$B)</f>
        <v>PWEGPL</v>
      </c>
      <c r="I153" s="39" t="str">
        <f>_xlfn.XLOOKUP(Table6[[#This Row],[Affected WTG]],'Basic Data'!$A:$A,'Basic Data'!$C:$C)</f>
        <v>MSEDCL</v>
      </c>
      <c r="J153" s="363">
        <f>IFERROR(VLOOKUP(Table6[[#This Row],[Affected WTG]],'Basic Data'!$A$3:$E$56,5,0),"")</f>
        <v>2.564102564102564E-2</v>
      </c>
      <c r="K153" s="121" t="s">
        <v>492</v>
      </c>
      <c r="L153" s="39" t="str">
        <f>IFERROR(VLOOKUP(Table6[[#This Row],[Error Code]],'Basic Data'!$T:$U,2,0),"")</f>
        <v>Manual Stop - Safety Related</v>
      </c>
      <c r="M153" s="364" t="s">
        <v>481</v>
      </c>
      <c r="O153" s="365">
        <v>0.61736111111111114</v>
      </c>
      <c r="P153" s="365">
        <v>0.61736111111111114</v>
      </c>
      <c r="Q153" s="365">
        <v>0.74444444444444446</v>
      </c>
      <c r="R153" s="366">
        <f>IF(Table6[[#This Row],[Work Start TimeStamp]]="","",(Table6[[#This Row],[Work Start TimeStamp]]-Table6[[#This Row],[Fault Start TimeStamp]])*24)</f>
        <v>0</v>
      </c>
      <c r="S153" s="367">
        <f>(Table6[[#This Row],[Fault Clearance time]]-Table6[[#This Row],[Work Start TimeStamp]])*24</f>
        <v>3.05</v>
      </c>
      <c r="T153" s="368">
        <f>(Table6[[#This Row],[Fault Clearance time]]-Table6[[#This Row],[Fault Start TimeStamp]])*24</f>
        <v>3.05</v>
      </c>
      <c r="U153" s="364" t="s">
        <v>508</v>
      </c>
      <c r="V153" s="369" t="s">
        <v>463</v>
      </c>
      <c r="W153" s="354">
        <f>Table6[[#This Row],[Breakdown Time]]*(1/39)</f>
        <v>7.8205128205128191E-2</v>
      </c>
      <c r="X153" s="352" t="s">
        <v>468</v>
      </c>
      <c r="Y153" s="370" t="s">
        <v>119</v>
      </c>
      <c r="Z153" s="121">
        <v>11540</v>
      </c>
      <c r="AA153" s="123">
        <v>1466.5416666666665</v>
      </c>
      <c r="AB153" s="121" t="s">
        <v>478</v>
      </c>
    </row>
    <row r="154" spans="1:28">
      <c r="A154" s="121">
        <f t="shared" si="2"/>
        <v>153</v>
      </c>
      <c r="B154" s="123">
        <f>YEAR(Table6[[#This Row],[Date]])+IF(MONTH(Table6[[#This Row],[Date]])&gt;=4,1,0)</f>
        <v>2026</v>
      </c>
      <c r="C154" s="121">
        <f>YEAR(Table6[[#This Row],[Date]])</f>
        <v>2025</v>
      </c>
      <c r="D154" s="121" t="s">
        <v>490</v>
      </c>
      <c r="E154" s="135">
        <f>Table6[[#This Row],[Date]]-DAY(Table6[[#This Row],[Date]])+1</f>
        <v>45748</v>
      </c>
      <c r="F154" s="134">
        <v>45749</v>
      </c>
      <c r="G154" s="121" t="s">
        <v>136</v>
      </c>
      <c r="H154" s="39" t="str">
        <f>_xlfn.XLOOKUP(Table6[[#This Row],[Affected WTG]],'Basic Data'!$A:$A,'Basic Data'!$B:$B)</f>
        <v>PWEGPL</v>
      </c>
      <c r="I154" s="39" t="str">
        <f>_xlfn.XLOOKUP(Table6[[#This Row],[Affected WTG]],'Basic Data'!$A:$A,'Basic Data'!$C:$C)</f>
        <v>MSEDCL</v>
      </c>
      <c r="J154" s="363">
        <f>IFERROR(VLOOKUP(Table6[[#This Row],[Affected WTG]],'Basic Data'!$A$3:$E$56,5,0),"")</f>
        <v>2.564102564102564E-2</v>
      </c>
      <c r="K154" s="121">
        <v>2106</v>
      </c>
      <c r="L154" s="39" t="str">
        <f>IFERROR(VLOOKUP(Table6[[#This Row],[Error Code]],'Basic Data'!$T:$U,2,0),"")</f>
        <v>Temp. Measurement Module Failure</v>
      </c>
      <c r="M154" s="364" t="s">
        <v>462</v>
      </c>
      <c r="O154" s="365">
        <v>0.78680555555555554</v>
      </c>
      <c r="P154" s="365">
        <v>0.93680555555555556</v>
      </c>
      <c r="Q154" s="365">
        <v>0.94097222222222221</v>
      </c>
      <c r="R154" s="366">
        <f>IF(Table6[[#This Row],[Work Start TimeStamp]]="","",(Table6[[#This Row],[Work Start TimeStamp]]-Table6[[#This Row],[Fault Start TimeStamp]])*24)</f>
        <v>3.6000000000000005</v>
      </c>
      <c r="S154" s="367">
        <f>(Table6[[#This Row],[Fault Clearance time]]-Table6[[#This Row],[Work Start TimeStamp]])*24</f>
        <v>9.9999999999999645E-2</v>
      </c>
      <c r="T154" s="368">
        <f>(Table6[[#This Row],[Fault Clearance time]]-Table6[[#This Row],[Fault Start TimeStamp]])*24</f>
        <v>3.7</v>
      </c>
      <c r="U154" s="364" t="s">
        <v>491</v>
      </c>
      <c r="V154" s="369" t="s">
        <v>463</v>
      </c>
      <c r="W154" s="354">
        <f>Table6[[#This Row],[Breakdown Time]]*(1/39)</f>
        <v>9.4871794871794868E-2</v>
      </c>
      <c r="X154" s="352" t="s">
        <v>465</v>
      </c>
      <c r="Y154" s="370" t="s">
        <v>119</v>
      </c>
      <c r="Z154" s="121">
        <v>11540</v>
      </c>
      <c r="AA154" s="123">
        <v>1779.0833333333333</v>
      </c>
      <c r="AB154" s="121" t="s">
        <v>478</v>
      </c>
    </row>
    <row r="155" spans="1:28">
      <c r="A155" s="121">
        <f t="shared" si="2"/>
        <v>154</v>
      </c>
      <c r="B155" s="123">
        <f>YEAR(Table6[[#This Row],[Date]])+IF(MONTH(Table6[[#This Row],[Date]])&gt;=4,1,0)</f>
        <v>2026</v>
      </c>
      <c r="C155" s="121">
        <f>YEAR(Table6[[#This Row],[Date]])</f>
        <v>2025</v>
      </c>
      <c r="D155" s="121" t="s">
        <v>490</v>
      </c>
      <c r="E155" s="135">
        <f>Table6[[#This Row],[Date]]-DAY(Table6[[#This Row],[Date]])+1</f>
        <v>45748</v>
      </c>
      <c r="F155" s="134">
        <v>45749</v>
      </c>
      <c r="G155" s="121" t="s">
        <v>139</v>
      </c>
      <c r="H155" s="39" t="str">
        <f>_xlfn.XLOOKUP(Table6[[#This Row],[Affected WTG]],'Basic Data'!$A:$A,'Basic Data'!$B:$B)</f>
        <v>PWEGPL</v>
      </c>
      <c r="I155" s="39" t="str">
        <f>_xlfn.XLOOKUP(Table6[[#This Row],[Affected WTG]],'Basic Data'!$A:$A,'Basic Data'!$C:$C)</f>
        <v>MSEDCL</v>
      </c>
      <c r="J155" s="363">
        <f>IFERROR(VLOOKUP(Table6[[#This Row],[Affected WTG]],'Basic Data'!$A$3:$E$56,5,0),"")</f>
        <v>2.564102564102564E-2</v>
      </c>
      <c r="K155" s="121">
        <v>5201</v>
      </c>
      <c r="L155" s="39" t="str">
        <f>IFERROR(VLOOKUP(Table6[[#This Row],[Error Code]],'Basic Data'!$T:$U,2,0),"")</f>
        <v>Magnetothermic Trigger Of The Stator Protection</v>
      </c>
      <c r="M155" s="364" t="s">
        <v>462</v>
      </c>
      <c r="O155" s="365">
        <v>0.23125000000000001</v>
      </c>
      <c r="P155" s="365">
        <v>0.23125000000000001</v>
      </c>
      <c r="Q155" s="365">
        <v>0.23472222222222222</v>
      </c>
      <c r="R155" s="366">
        <f>IF(Table6[[#This Row],[Work Start TimeStamp]]="","",(Table6[[#This Row],[Work Start TimeStamp]]-Table6[[#This Row],[Fault Start TimeStamp]])*24)</f>
        <v>0</v>
      </c>
      <c r="S155" s="367">
        <f>(Table6[[#This Row],[Fault Clearance time]]-Table6[[#This Row],[Work Start TimeStamp]])*24</f>
        <v>8.3333333333333037E-2</v>
      </c>
      <c r="T155" s="368">
        <f>(Table6[[#This Row],[Fault Clearance time]]-Table6[[#This Row],[Fault Start TimeStamp]])*24</f>
        <v>8.3333333333333037E-2</v>
      </c>
      <c r="U155" s="364" t="s">
        <v>480</v>
      </c>
      <c r="V155" s="369" t="s">
        <v>463</v>
      </c>
      <c r="W155" s="354">
        <f>Table6[[#This Row],[Breakdown Time]]*(1/39)</f>
        <v>2.1367521367521292E-3</v>
      </c>
      <c r="X155" s="352" t="s">
        <v>465</v>
      </c>
      <c r="Y155" s="370" t="s">
        <v>145</v>
      </c>
      <c r="Z155" s="121">
        <v>2722</v>
      </c>
      <c r="AA155" s="123">
        <v>9.4513888888888555</v>
      </c>
      <c r="AB155" s="121" t="s">
        <v>478</v>
      </c>
    </row>
    <row r="156" spans="1:28">
      <c r="A156" s="121">
        <f t="shared" si="2"/>
        <v>155</v>
      </c>
      <c r="B156" s="123">
        <f>YEAR(Table6[[#This Row],[Date]])+IF(MONTH(Table6[[#This Row],[Date]])&gt;=4,1,0)</f>
        <v>2026</v>
      </c>
      <c r="C156" s="121">
        <f>YEAR(Table6[[#This Row],[Date]])</f>
        <v>2025</v>
      </c>
      <c r="D156" s="121" t="s">
        <v>490</v>
      </c>
      <c r="E156" s="135">
        <f>Table6[[#This Row],[Date]]-DAY(Table6[[#This Row],[Date]])+1</f>
        <v>45748</v>
      </c>
      <c r="F156" s="134">
        <v>45749</v>
      </c>
      <c r="G156" s="121" t="s">
        <v>139</v>
      </c>
      <c r="H156" s="39" t="str">
        <f>_xlfn.XLOOKUP(Table6[[#This Row],[Affected WTG]],'Basic Data'!$A:$A,'Basic Data'!$B:$B)</f>
        <v>PWEGPL</v>
      </c>
      <c r="I156" s="39" t="str">
        <f>_xlfn.XLOOKUP(Table6[[#This Row],[Affected WTG]],'Basic Data'!$A:$A,'Basic Data'!$C:$C)</f>
        <v>MSEDCL</v>
      </c>
      <c r="J156" s="363">
        <f>IFERROR(VLOOKUP(Table6[[#This Row],[Affected WTG]],'Basic Data'!$A$3:$E$56,5,0),"")</f>
        <v>2.564102564102564E-2</v>
      </c>
      <c r="K156" s="121">
        <v>5201</v>
      </c>
      <c r="L156" s="39" t="str">
        <f>IFERROR(VLOOKUP(Table6[[#This Row],[Error Code]],'Basic Data'!$T:$U,2,0),"")</f>
        <v>Magnetothermic Trigger Of The Stator Protection</v>
      </c>
      <c r="M156" s="364" t="s">
        <v>462</v>
      </c>
      <c r="O156" s="365">
        <v>0.45</v>
      </c>
      <c r="P156" s="365">
        <v>0.45</v>
      </c>
      <c r="Q156" s="365">
        <v>0.45347222222222222</v>
      </c>
      <c r="R156" s="366">
        <f>IF(Table6[[#This Row],[Work Start TimeStamp]]="","",(Table6[[#This Row],[Work Start TimeStamp]]-Table6[[#This Row],[Fault Start TimeStamp]])*24)</f>
        <v>0</v>
      </c>
      <c r="S156" s="367">
        <f>(Table6[[#This Row],[Fault Clearance time]]-Table6[[#This Row],[Work Start TimeStamp]])*24</f>
        <v>8.3333333333333037E-2</v>
      </c>
      <c r="T156" s="368">
        <f>(Table6[[#This Row],[Fault Clearance time]]-Table6[[#This Row],[Fault Start TimeStamp]])*24</f>
        <v>8.3333333333333037E-2</v>
      </c>
      <c r="U156" s="364" t="s">
        <v>480</v>
      </c>
      <c r="V156" s="369" t="s">
        <v>463</v>
      </c>
      <c r="W156" s="354">
        <f>Table6[[#This Row],[Breakdown Time]]*(1/39)</f>
        <v>2.1367521367521292E-3</v>
      </c>
      <c r="X156" s="352" t="s">
        <v>465</v>
      </c>
      <c r="Y156" s="370" t="s">
        <v>145</v>
      </c>
      <c r="Z156" s="121">
        <v>2722</v>
      </c>
      <c r="AA156" s="123">
        <v>9.4513888888888555</v>
      </c>
      <c r="AB156" s="121" t="s">
        <v>478</v>
      </c>
    </row>
    <row r="157" spans="1:28">
      <c r="A157" s="121">
        <f t="shared" si="2"/>
        <v>156</v>
      </c>
      <c r="B157" s="123">
        <f>YEAR(Table6[[#This Row],[Date]])+IF(MONTH(Table6[[#This Row],[Date]])&gt;=4,1,0)</f>
        <v>2026</v>
      </c>
      <c r="C157" s="121">
        <f>YEAR(Table6[[#This Row],[Date]])</f>
        <v>2025</v>
      </c>
      <c r="D157" s="121" t="s">
        <v>490</v>
      </c>
      <c r="E157" s="135">
        <f>Table6[[#This Row],[Date]]-DAY(Table6[[#This Row],[Date]])+1</f>
        <v>45748</v>
      </c>
      <c r="F157" s="134">
        <v>45749</v>
      </c>
      <c r="G157" s="121" t="s">
        <v>139</v>
      </c>
      <c r="H157" s="39" t="str">
        <f>_xlfn.XLOOKUP(Table6[[#This Row],[Affected WTG]],'Basic Data'!$A:$A,'Basic Data'!$B:$B)</f>
        <v>PWEGPL</v>
      </c>
      <c r="I157" s="39" t="str">
        <f>_xlfn.XLOOKUP(Table6[[#This Row],[Affected WTG]],'Basic Data'!$A:$A,'Basic Data'!$C:$C)</f>
        <v>MSEDCL</v>
      </c>
      <c r="J157" s="363">
        <f>IFERROR(VLOOKUP(Table6[[#This Row],[Affected WTG]],'Basic Data'!$A$3:$E$56,5,0),"")</f>
        <v>2.564102564102564E-2</v>
      </c>
      <c r="K157" s="121">
        <v>5201</v>
      </c>
      <c r="L157" s="39" t="str">
        <f>IFERROR(VLOOKUP(Table6[[#This Row],[Error Code]],'Basic Data'!$T:$U,2,0),"")</f>
        <v>Magnetothermic Trigger Of The Stator Protection</v>
      </c>
      <c r="M157" s="364" t="s">
        <v>462</v>
      </c>
      <c r="O157" s="365">
        <v>0.53402777777777777</v>
      </c>
      <c r="P157" s="365">
        <v>0.53402777777777777</v>
      </c>
      <c r="Q157" s="365">
        <v>0.53749999999999998</v>
      </c>
      <c r="R157" s="366">
        <f>IF(Table6[[#This Row],[Work Start TimeStamp]]="","",(Table6[[#This Row],[Work Start TimeStamp]]-Table6[[#This Row],[Fault Start TimeStamp]])*24)</f>
        <v>0</v>
      </c>
      <c r="S157" s="367">
        <f>(Table6[[#This Row],[Fault Clearance time]]-Table6[[#This Row],[Work Start TimeStamp]])*24</f>
        <v>8.3333333333333037E-2</v>
      </c>
      <c r="T157" s="368">
        <f>(Table6[[#This Row],[Fault Clearance time]]-Table6[[#This Row],[Fault Start TimeStamp]])*24</f>
        <v>8.3333333333333037E-2</v>
      </c>
      <c r="U157" s="364" t="s">
        <v>480</v>
      </c>
      <c r="V157" s="369" t="s">
        <v>463</v>
      </c>
      <c r="W157" s="354">
        <f>Table6[[#This Row],[Breakdown Time]]*(1/39)</f>
        <v>2.1367521367521292E-3</v>
      </c>
      <c r="X157" s="352" t="s">
        <v>465</v>
      </c>
      <c r="Y157" s="370" t="s">
        <v>145</v>
      </c>
      <c r="Z157" s="121">
        <v>2722</v>
      </c>
      <c r="AA157" s="123">
        <v>9.4513888888888555</v>
      </c>
      <c r="AB157" s="121" t="s">
        <v>478</v>
      </c>
    </row>
    <row r="158" spans="1:28">
      <c r="A158" s="121">
        <f t="shared" si="2"/>
        <v>157</v>
      </c>
      <c r="B158" s="123">
        <f>YEAR(Table6[[#This Row],[Date]])+IF(MONTH(Table6[[#This Row],[Date]])&gt;=4,1,0)</f>
        <v>2026</v>
      </c>
      <c r="C158" s="121">
        <f>YEAR(Table6[[#This Row],[Date]])</f>
        <v>2025</v>
      </c>
      <c r="D158" s="121" t="s">
        <v>490</v>
      </c>
      <c r="E158" s="135">
        <f>Table6[[#This Row],[Date]]-DAY(Table6[[#This Row],[Date]])+1</f>
        <v>45748</v>
      </c>
      <c r="F158" s="134">
        <v>45749</v>
      </c>
      <c r="G158" s="121" t="s">
        <v>145</v>
      </c>
      <c r="H158" s="39" t="str">
        <f>_xlfn.XLOOKUP(Table6[[#This Row],[Affected WTG]],'Basic Data'!$A:$A,'Basic Data'!$B:$B)</f>
        <v>PWEGPL</v>
      </c>
      <c r="I158" s="39" t="str">
        <f>_xlfn.XLOOKUP(Table6[[#This Row],[Affected WTG]],'Basic Data'!$A:$A,'Basic Data'!$C:$C)</f>
        <v>MSEDCL</v>
      </c>
      <c r="J158" s="363">
        <f>IFERROR(VLOOKUP(Table6[[#This Row],[Affected WTG]],'Basic Data'!$A$3:$E$56,5,0),"")</f>
        <v>2.564102564102564E-2</v>
      </c>
      <c r="K158" s="121">
        <v>5201</v>
      </c>
      <c r="L158" s="39" t="str">
        <f>IFERROR(VLOOKUP(Table6[[#This Row],[Error Code]],'Basic Data'!$T:$U,2,0),"")</f>
        <v>Magnetothermic Trigger Of The Stator Protection</v>
      </c>
      <c r="M158" s="364" t="s">
        <v>462</v>
      </c>
      <c r="O158" s="365">
        <v>0</v>
      </c>
      <c r="P158" s="365">
        <v>0.44791666666666669</v>
      </c>
      <c r="Q158" s="365">
        <v>0.4513888888888889</v>
      </c>
      <c r="R158" s="366">
        <f>IF(Table6[[#This Row],[Work Start TimeStamp]]="","",(Table6[[#This Row],[Work Start TimeStamp]]-Table6[[#This Row],[Fault Start TimeStamp]])*24)</f>
        <v>10.75</v>
      </c>
      <c r="S158" s="367">
        <f>(Table6[[#This Row],[Fault Clearance time]]-Table6[[#This Row],[Work Start TimeStamp]])*24</f>
        <v>8.3333333333333037E-2</v>
      </c>
      <c r="T158" s="368">
        <f>(Table6[[#This Row],[Fault Clearance time]]-Table6[[#This Row],[Fault Start TimeStamp]])*24</f>
        <v>10.833333333333334</v>
      </c>
      <c r="U158" s="364" t="s">
        <v>491</v>
      </c>
      <c r="V158" s="369" t="s">
        <v>463</v>
      </c>
      <c r="W158" s="354">
        <f>Table6[[#This Row],[Breakdown Time]]*(1/39)</f>
        <v>0.27777777777777779</v>
      </c>
      <c r="X158" s="352" t="s">
        <v>465</v>
      </c>
      <c r="Y158" s="370" t="s">
        <v>139</v>
      </c>
      <c r="Z158" s="121">
        <v>12938</v>
      </c>
      <c r="AA158" s="123">
        <v>5840.0694444444453</v>
      </c>
      <c r="AB158" s="121" t="s">
        <v>478</v>
      </c>
    </row>
    <row r="159" spans="1:28">
      <c r="A159" s="121">
        <f t="shared" si="2"/>
        <v>158</v>
      </c>
      <c r="B159" s="123">
        <f>YEAR(Table6[[#This Row],[Date]])+IF(MONTH(Table6[[#This Row],[Date]])&gt;=4,1,0)</f>
        <v>2026</v>
      </c>
      <c r="C159" s="121">
        <f>YEAR(Table6[[#This Row],[Date]])</f>
        <v>2025</v>
      </c>
      <c r="D159" s="121" t="s">
        <v>490</v>
      </c>
      <c r="E159" s="135">
        <f>Table6[[#This Row],[Date]]-DAY(Table6[[#This Row],[Date]])+1</f>
        <v>45748</v>
      </c>
      <c r="F159" s="134">
        <v>45749</v>
      </c>
      <c r="G159" s="121" t="s">
        <v>145</v>
      </c>
      <c r="H159" s="39" t="str">
        <f>_xlfn.XLOOKUP(Table6[[#This Row],[Affected WTG]],'Basic Data'!$A:$A,'Basic Data'!$B:$B)</f>
        <v>PWEGPL</v>
      </c>
      <c r="I159" s="39" t="str">
        <f>_xlfn.XLOOKUP(Table6[[#This Row],[Affected WTG]],'Basic Data'!$A:$A,'Basic Data'!$C:$C)</f>
        <v>MSEDCL</v>
      </c>
      <c r="J159" s="363">
        <f>IFERROR(VLOOKUP(Table6[[#This Row],[Affected WTG]],'Basic Data'!$A$3:$E$56,5,0),"")</f>
        <v>2.564102564102564E-2</v>
      </c>
      <c r="K159" s="121">
        <v>700</v>
      </c>
      <c r="L159" s="39" t="str">
        <f>IFERROR(VLOOKUP(Table6[[#This Row],[Error Code]],'Basic Data'!$T:$U,2,0),"")</f>
        <v>PLC-Converter Communication Error</v>
      </c>
      <c r="M159" s="364" t="s">
        <v>462</v>
      </c>
      <c r="O159" s="365">
        <v>0.81874999999999998</v>
      </c>
      <c r="P159" s="365">
        <v>0.96527777777777779</v>
      </c>
      <c r="Q159" s="365">
        <v>0.96597222222222223</v>
      </c>
      <c r="R159" s="366">
        <f>IF(Table6[[#This Row],[Work Start TimeStamp]]="","",(Table6[[#This Row],[Work Start TimeStamp]]-Table6[[#This Row],[Fault Start TimeStamp]])*24)</f>
        <v>3.5166666666666675</v>
      </c>
      <c r="S159" s="367">
        <f>(Table6[[#This Row],[Fault Clearance time]]-Table6[[#This Row],[Work Start TimeStamp]])*24</f>
        <v>1.6666666666666607E-2</v>
      </c>
      <c r="T159" s="368">
        <f>(Table6[[#This Row],[Fault Clearance time]]-Table6[[#This Row],[Fault Start TimeStamp]])*24</f>
        <v>3.5333333333333341</v>
      </c>
      <c r="U159" s="364" t="s">
        <v>493</v>
      </c>
      <c r="V159" s="369" t="s">
        <v>463</v>
      </c>
      <c r="W159" s="354">
        <f>Table6[[#This Row],[Breakdown Time]]*(1/39)</f>
        <v>9.0598290598290609E-2</v>
      </c>
      <c r="X159" s="352" t="s">
        <v>465</v>
      </c>
      <c r="Y159" s="370" t="s">
        <v>139</v>
      </c>
      <c r="Z159" s="121">
        <v>12938</v>
      </c>
      <c r="AA159" s="123">
        <v>1904.7611111111116</v>
      </c>
      <c r="AB159" s="121" t="s">
        <v>478</v>
      </c>
    </row>
    <row r="160" spans="1:28">
      <c r="A160" s="121">
        <f t="shared" si="2"/>
        <v>159</v>
      </c>
      <c r="B160" s="123">
        <f>YEAR(Table6[[#This Row],[Date]])+IF(MONTH(Table6[[#This Row],[Date]])&gt;=4,1,0)</f>
        <v>2026</v>
      </c>
      <c r="C160" s="121">
        <f>YEAR(Table6[[#This Row],[Date]])</f>
        <v>2025</v>
      </c>
      <c r="D160" s="121" t="s">
        <v>490</v>
      </c>
      <c r="E160" s="135">
        <f>Table6[[#This Row],[Date]]-DAY(Table6[[#This Row],[Date]])+1</f>
        <v>45748</v>
      </c>
      <c r="F160" s="134">
        <v>45749</v>
      </c>
      <c r="G160" s="121" t="s">
        <v>145</v>
      </c>
      <c r="H160" s="39" t="str">
        <f>_xlfn.XLOOKUP(Table6[[#This Row],[Affected WTG]],'Basic Data'!$A:$A,'Basic Data'!$B:$B)</f>
        <v>PWEGPL</v>
      </c>
      <c r="I160" s="39" t="str">
        <f>_xlfn.XLOOKUP(Table6[[#This Row],[Affected WTG]],'Basic Data'!$A:$A,'Basic Data'!$C:$C)</f>
        <v>MSEDCL</v>
      </c>
      <c r="J160" s="363">
        <f>IFERROR(VLOOKUP(Table6[[#This Row],[Affected WTG]],'Basic Data'!$A$3:$E$56,5,0),"")</f>
        <v>2.564102564102564E-2</v>
      </c>
      <c r="K160" s="121">
        <v>700</v>
      </c>
      <c r="L160" s="39" t="str">
        <f>IFERROR(VLOOKUP(Table6[[#This Row],[Error Code]],'Basic Data'!$T:$U,2,0),"")</f>
        <v>PLC-Converter Communication Error</v>
      </c>
      <c r="M160" s="364" t="s">
        <v>462</v>
      </c>
      <c r="O160" s="365">
        <v>0.97222222222222221</v>
      </c>
      <c r="P160" s="365">
        <v>0.97430555555555554</v>
      </c>
      <c r="Q160" s="365">
        <v>0.99930555555555556</v>
      </c>
      <c r="R160" s="366">
        <f>IF(Table6[[#This Row],[Work Start TimeStamp]]="","",(Table6[[#This Row],[Work Start TimeStamp]]-Table6[[#This Row],[Fault Start TimeStamp]])*24)</f>
        <v>4.9999999999999822E-2</v>
      </c>
      <c r="S160" s="367">
        <f>(Table6[[#This Row],[Fault Clearance time]]-Table6[[#This Row],[Work Start TimeStamp]])*24</f>
        <v>0.60000000000000053</v>
      </c>
      <c r="T160" s="368">
        <f>(Table6[[#This Row],[Fault Clearance time]]-Table6[[#This Row],[Fault Start TimeStamp]])*24</f>
        <v>0.65000000000000036</v>
      </c>
      <c r="U160" s="364" t="s">
        <v>500</v>
      </c>
      <c r="V160" s="369" t="s">
        <v>463</v>
      </c>
      <c r="W160" s="354">
        <f>Table6[[#This Row],[Breakdown Time]]*(1/39)</f>
        <v>1.6666666666666677E-2</v>
      </c>
      <c r="X160" s="352" t="s">
        <v>465</v>
      </c>
      <c r="Y160" s="370" t="s">
        <v>139</v>
      </c>
      <c r="Z160" s="121">
        <v>12938</v>
      </c>
      <c r="AA160" s="123">
        <v>350.40416666666687</v>
      </c>
      <c r="AB160" s="121" t="s">
        <v>478</v>
      </c>
    </row>
    <row r="161" spans="1:28">
      <c r="A161" s="121">
        <f t="shared" si="2"/>
        <v>160</v>
      </c>
      <c r="B161" s="123">
        <f>YEAR(Table6[[#This Row],[Date]])+IF(MONTH(Table6[[#This Row],[Date]])&gt;=4,1,0)</f>
        <v>2026</v>
      </c>
      <c r="C161" s="121">
        <f>YEAR(Table6[[#This Row],[Date]])</f>
        <v>2025</v>
      </c>
      <c r="D161" s="121" t="s">
        <v>490</v>
      </c>
      <c r="E161" s="135">
        <f>Table6[[#This Row],[Date]]-DAY(Table6[[#This Row],[Date]])+1</f>
        <v>45748</v>
      </c>
      <c r="F161" s="134">
        <v>45749</v>
      </c>
      <c r="G161" s="121" t="s">
        <v>152</v>
      </c>
      <c r="H161" s="39" t="str">
        <f>_xlfn.XLOOKUP(Table6[[#This Row],[Affected WTG]],'Basic Data'!$A:$A,'Basic Data'!$B:$B)</f>
        <v>PWEGPL</v>
      </c>
      <c r="I161" s="39" t="str">
        <f>_xlfn.XLOOKUP(Table6[[#This Row],[Affected WTG]],'Basic Data'!$A:$A,'Basic Data'!$C:$C)</f>
        <v>MSEDCL</v>
      </c>
      <c r="J161" s="363">
        <f>IFERROR(VLOOKUP(Table6[[#This Row],[Affected WTG]],'Basic Data'!$A$3:$E$56,5,0),"")</f>
        <v>2.564102564102564E-2</v>
      </c>
      <c r="K161" s="121">
        <v>5201</v>
      </c>
      <c r="L161" s="39" t="str">
        <f>IFERROR(VLOOKUP(Table6[[#This Row],[Error Code]],'Basic Data'!$T:$U,2,0),"")</f>
        <v>Magnetothermic Trigger Of The Stator Protection</v>
      </c>
      <c r="M161" s="364" t="s">
        <v>462</v>
      </c>
      <c r="O161" s="365">
        <v>0.34097222222222223</v>
      </c>
      <c r="P161" s="365">
        <v>0.34097222222222223</v>
      </c>
      <c r="Q161" s="365">
        <v>0.34444444444444444</v>
      </c>
      <c r="R161" s="366">
        <f>IF(Table6[[#This Row],[Work Start TimeStamp]]="","",(Table6[[#This Row],[Work Start TimeStamp]]-Table6[[#This Row],[Fault Start TimeStamp]])*24)</f>
        <v>0</v>
      </c>
      <c r="S161" s="367">
        <f>(Table6[[#This Row],[Fault Clearance time]]-Table6[[#This Row],[Work Start TimeStamp]])*24</f>
        <v>8.3333333333333037E-2</v>
      </c>
      <c r="T161" s="368">
        <f>(Table6[[#This Row],[Fault Clearance time]]-Table6[[#This Row],[Fault Start TimeStamp]])*24</f>
        <v>8.3333333333333037E-2</v>
      </c>
      <c r="U161" s="364" t="s">
        <v>480</v>
      </c>
      <c r="V161" s="369" t="s">
        <v>463</v>
      </c>
      <c r="W161" s="354">
        <f>Table6[[#This Row],[Breakdown Time]]*(1/39)</f>
        <v>2.1367521367521292E-3</v>
      </c>
      <c r="X161" s="352" t="s">
        <v>465</v>
      </c>
      <c r="Y161" s="370" t="s">
        <v>151</v>
      </c>
      <c r="Z161" s="121">
        <v>11404</v>
      </c>
      <c r="AA161" s="123">
        <v>39.597222222222086</v>
      </c>
      <c r="AB161" s="121" t="s">
        <v>478</v>
      </c>
    </row>
    <row r="162" spans="1:28">
      <c r="A162" s="121">
        <f t="shared" si="2"/>
        <v>161</v>
      </c>
      <c r="B162" s="123">
        <f>YEAR(Table6[[#This Row],[Date]])+IF(MONTH(Table6[[#This Row],[Date]])&gt;=4,1,0)</f>
        <v>2026</v>
      </c>
      <c r="C162" s="121">
        <f>YEAR(Table6[[#This Row],[Date]])</f>
        <v>2025</v>
      </c>
      <c r="D162" s="121" t="s">
        <v>490</v>
      </c>
      <c r="E162" s="135">
        <f>Table6[[#This Row],[Date]]-DAY(Table6[[#This Row],[Date]])+1</f>
        <v>45748</v>
      </c>
      <c r="F162" s="134">
        <v>45749</v>
      </c>
      <c r="G162" s="121" t="s">
        <v>152</v>
      </c>
      <c r="H162" s="39" t="str">
        <f>_xlfn.XLOOKUP(Table6[[#This Row],[Affected WTG]],'Basic Data'!$A:$A,'Basic Data'!$B:$B)</f>
        <v>PWEGPL</v>
      </c>
      <c r="I162" s="39" t="str">
        <f>_xlfn.XLOOKUP(Table6[[#This Row],[Affected WTG]],'Basic Data'!$A:$A,'Basic Data'!$C:$C)</f>
        <v>MSEDCL</v>
      </c>
      <c r="J162" s="363">
        <f>IFERROR(VLOOKUP(Table6[[#This Row],[Affected WTG]],'Basic Data'!$A$3:$E$56,5,0),"")</f>
        <v>2.564102564102564E-2</v>
      </c>
      <c r="K162" s="121">
        <v>5201</v>
      </c>
      <c r="L162" s="39" t="str">
        <f>IFERROR(VLOOKUP(Table6[[#This Row],[Error Code]],'Basic Data'!$T:$U,2,0),"")</f>
        <v>Magnetothermic Trigger Of The Stator Protection</v>
      </c>
      <c r="M162" s="364" t="s">
        <v>462</v>
      </c>
      <c r="O162" s="365">
        <v>0.49375000000000002</v>
      </c>
      <c r="P162" s="365">
        <v>0.49375000000000002</v>
      </c>
      <c r="Q162" s="365">
        <v>0.49722222222222223</v>
      </c>
      <c r="R162" s="366">
        <f>IF(Table6[[#This Row],[Work Start TimeStamp]]="","",(Table6[[#This Row],[Work Start TimeStamp]]-Table6[[#This Row],[Fault Start TimeStamp]])*24)</f>
        <v>0</v>
      </c>
      <c r="S162" s="367">
        <f>(Table6[[#This Row],[Fault Clearance time]]-Table6[[#This Row],[Work Start TimeStamp]])*24</f>
        <v>8.3333333333333037E-2</v>
      </c>
      <c r="T162" s="368">
        <f>(Table6[[#This Row],[Fault Clearance time]]-Table6[[#This Row],[Fault Start TimeStamp]])*24</f>
        <v>8.3333333333333037E-2</v>
      </c>
      <c r="U162" s="364" t="s">
        <v>480</v>
      </c>
      <c r="V162" s="369" t="s">
        <v>463</v>
      </c>
      <c r="W162" s="354">
        <f>Table6[[#This Row],[Breakdown Time]]*(1/39)</f>
        <v>2.1367521367521292E-3</v>
      </c>
      <c r="X162" s="352" t="s">
        <v>465</v>
      </c>
      <c r="Y162" s="370" t="s">
        <v>151</v>
      </c>
      <c r="Z162" s="121">
        <v>11404</v>
      </c>
      <c r="AA162" s="123">
        <v>39.597222222222086</v>
      </c>
      <c r="AB162" s="121" t="s">
        <v>478</v>
      </c>
    </row>
    <row r="163" spans="1:28">
      <c r="A163" s="121">
        <f t="shared" si="2"/>
        <v>162</v>
      </c>
      <c r="B163" s="123">
        <f>YEAR(Table6[[#This Row],[Date]])+IF(MONTH(Table6[[#This Row],[Date]])&gt;=4,1,0)</f>
        <v>2026</v>
      </c>
      <c r="C163" s="121">
        <f>YEAR(Table6[[#This Row],[Date]])</f>
        <v>2025</v>
      </c>
      <c r="D163" s="121" t="s">
        <v>490</v>
      </c>
      <c r="E163" s="135">
        <f>Table6[[#This Row],[Date]]-DAY(Table6[[#This Row],[Date]])+1</f>
        <v>45748</v>
      </c>
      <c r="F163" s="134">
        <v>45749</v>
      </c>
      <c r="G163" s="121" t="s">
        <v>152</v>
      </c>
      <c r="H163" s="39" t="str">
        <f>_xlfn.XLOOKUP(Table6[[#This Row],[Affected WTG]],'Basic Data'!$A:$A,'Basic Data'!$B:$B)</f>
        <v>PWEGPL</v>
      </c>
      <c r="I163" s="39" t="str">
        <f>_xlfn.XLOOKUP(Table6[[#This Row],[Affected WTG]],'Basic Data'!$A:$A,'Basic Data'!$C:$C)</f>
        <v>MSEDCL</v>
      </c>
      <c r="J163" s="363">
        <f>IFERROR(VLOOKUP(Table6[[#This Row],[Affected WTG]],'Basic Data'!$A$3:$E$56,5,0),"")</f>
        <v>2.564102564102564E-2</v>
      </c>
      <c r="K163" s="121">
        <v>5201</v>
      </c>
      <c r="L163" s="39" t="str">
        <f>IFERROR(VLOOKUP(Table6[[#This Row],[Error Code]],'Basic Data'!$T:$U,2,0),"")</f>
        <v>Magnetothermic Trigger Of The Stator Protection</v>
      </c>
      <c r="M163" s="364" t="s">
        <v>462</v>
      </c>
      <c r="O163" s="365">
        <v>0.82361111111111107</v>
      </c>
      <c r="P163" s="365">
        <v>0.82361111111111107</v>
      </c>
      <c r="Q163" s="365">
        <v>0.83125000000000004</v>
      </c>
      <c r="R163" s="366">
        <f>IF(Table6[[#This Row],[Work Start TimeStamp]]="","",(Table6[[#This Row],[Work Start TimeStamp]]-Table6[[#This Row],[Fault Start TimeStamp]])*24)</f>
        <v>0</v>
      </c>
      <c r="S163" s="367">
        <f>(Table6[[#This Row],[Fault Clearance time]]-Table6[[#This Row],[Work Start TimeStamp]])*24</f>
        <v>0.18333333333333535</v>
      </c>
      <c r="T163" s="368">
        <f>(Table6[[#This Row],[Fault Clearance time]]-Table6[[#This Row],[Fault Start TimeStamp]])*24</f>
        <v>0.18333333333333535</v>
      </c>
      <c r="U163" s="364" t="s">
        <v>480</v>
      </c>
      <c r="V163" s="369" t="s">
        <v>463</v>
      </c>
      <c r="W163" s="354">
        <f>Table6[[#This Row],[Breakdown Time]]*(1/39)</f>
        <v>4.7008547008547527E-3</v>
      </c>
      <c r="X163" s="352" t="s">
        <v>465</v>
      </c>
      <c r="Y163" s="370" t="s">
        <v>151</v>
      </c>
      <c r="Z163" s="121">
        <v>11404</v>
      </c>
      <c r="AA163" s="123">
        <v>87.113888888889846</v>
      </c>
      <c r="AB163" s="121" t="s">
        <v>478</v>
      </c>
    </row>
    <row r="164" spans="1:28">
      <c r="A164" s="121">
        <f t="shared" si="2"/>
        <v>163</v>
      </c>
      <c r="B164" s="123">
        <f>YEAR(Table6[[#This Row],[Date]])+IF(MONTH(Table6[[#This Row],[Date]])&gt;=4,1,0)</f>
        <v>2026</v>
      </c>
      <c r="C164" s="121">
        <f>YEAR(Table6[[#This Row],[Date]])</f>
        <v>2025</v>
      </c>
      <c r="D164" s="121" t="s">
        <v>490</v>
      </c>
      <c r="E164" s="135">
        <f>Table6[[#This Row],[Date]]-DAY(Table6[[#This Row],[Date]])+1</f>
        <v>45748</v>
      </c>
      <c r="F164" s="134">
        <v>45749</v>
      </c>
      <c r="G164" s="121" t="s">
        <v>153</v>
      </c>
      <c r="H164" s="39" t="str">
        <f>_xlfn.XLOOKUP(Table6[[#This Row],[Affected WTG]],'Basic Data'!$A:$A,'Basic Data'!$B:$B)</f>
        <v>PWEGPL</v>
      </c>
      <c r="I164" s="39" t="str">
        <f>_xlfn.XLOOKUP(Table6[[#This Row],[Affected WTG]],'Basic Data'!$A:$A,'Basic Data'!$C:$C)</f>
        <v>MSEDCL</v>
      </c>
      <c r="J164" s="363">
        <f>IFERROR(VLOOKUP(Table6[[#This Row],[Affected WTG]],'Basic Data'!$A$3:$E$56,5,0),"")</f>
        <v>2.564102564102564E-2</v>
      </c>
      <c r="K164" s="121">
        <v>812</v>
      </c>
      <c r="L164" s="39" t="str">
        <f>IFERROR(VLOOKUP(Table6[[#This Row],[Error Code]],'Basic Data'!$T:$U,2,0),"")</f>
        <v>Blade Position Meas. Error</v>
      </c>
      <c r="M164" s="364" t="s">
        <v>462</v>
      </c>
      <c r="O164" s="365">
        <v>0.31944444444444442</v>
      </c>
      <c r="P164" s="365">
        <v>0.45694444444444443</v>
      </c>
      <c r="Q164" s="365">
        <v>0.45694444444444443</v>
      </c>
      <c r="R164" s="366">
        <f>IF(Table6[[#This Row],[Work Start TimeStamp]]="","",(Table6[[#This Row],[Work Start TimeStamp]]-Table6[[#This Row],[Fault Start TimeStamp]])*24)</f>
        <v>3.3000000000000003</v>
      </c>
      <c r="S164" s="367">
        <f>(Table6[[#This Row],[Fault Clearance time]]-Table6[[#This Row],[Work Start TimeStamp]])*24</f>
        <v>0</v>
      </c>
      <c r="T164" s="368">
        <f>(Table6[[#This Row],[Fault Clearance time]]-Table6[[#This Row],[Fault Start TimeStamp]])*24</f>
        <v>3.3000000000000003</v>
      </c>
      <c r="U164" s="364" t="s">
        <v>493</v>
      </c>
      <c r="V164" s="369" t="s">
        <v>463</v>
      </c>
      <c r="W164" s="354">
        <f>Table6[[#This Row],[Breakdown Time]]*(1/39)</f>
        <v>8.461538461538462E-2</v>
      </c>
      <c r="X164" s="352" t="s">
        <v>465</v>
      </c>
      <c r="Y164" s="370" t="s">
        <v>152</v>
      </c>
      <c r="Z164" s="121">
        <v>11460</v>
      </c>
      <c r="AA164" s="123">
        <v>1575.7500000000002</v>
      </c>
      <c r="AB164" s="121" t="s">
        <v>478</v>
      </c>
    </row>
    <row r="165" spans="1:28">
      <c r="A165" s="121">
        <f t="shared" si="2"/>
        <v>164</v>
      </c>
      <c r="B165" s="123">
        <f>YEAR(Table6[[#This Row],[Date]])+IF(MONTH(Table6[[#This Row],[Date]])&gt;=4,1,0)</f>
        <v>2026</v>
      </c>
      <c r="C165" s="121">
        <f>YEAR(Table6[[#This Row],[Date]])</f>
        <v>2025</v>
      </c>
      <c r="D165" s="121" t="s">
        <v>490</v>
      </c>
      <c r="E165" s="135">
        <f>Table6[[#This Row],[Date]]-DAY(Table6[[#This Row],[Date]])+1</f>
        <v>45748</v>
      </c>
      <c r="F165" s="134">
        <v>45750</v>
      </c>
      <c r="G165" s="121" t="s">
        <v>144</v>
      </c>
      <c r="H165" s="39" t="str">
        <f>_xlfn.XLOOKUP(Table6[[#This Row],[Affected WTG]],'Basic Data'!$A:$A,'Basic Data'!$B:$B)</f>
        <v>PWEGPL</v>
      </c>
      <c r="I165" s="39" t="str">
        <f>_xlfn.XLOOKUP(Table6[[#This Row],[Affected WTG]],'Basic Data'!$A:$A,'Basic Data'!$C:$C)</f>
        <v>MSEDCL</v>
      </c>
      <c r="J165" s="363">
        <f>IFERROR(VLOOKUP(Table6[[#This Row],[Affected WTG]],'Basic Data'!$A$3:$E$56,5,0),"")</f>
        <v>2.564102564102564E-2</v>
      </c>
      <c r="K165" s="121" t="s">
        <v>492</v>
      </c>
      <c r="L165" s="39" t="str">
        <f>IFERROR(VLOOKUP(Table6[[#This Row],[Error Code]],'Basic Data'!$T:$U,2,0),"")</f>
        <v>Manual Stop - Safety Related</v>
      </c>
      <c r="M165" s="364" t="s">
        <v>481</v>
      </c>
      <c r="O165" s="365">
        <v>0</v>
      </c>
      <c r="P165" s="365">
        <v>0.99930555555555556</v>
      </c>
      <c r="Q165" s="365">
        <v>0.99930555555555556</v>
      </c>
      <c r="R165" s="366">
        <f>IF(Table6[[#This Row],[Work Start TimeStamp]]="","",(Table6[[#This Row],[Work Start TimeStamp]]-Table6[[#This Row],[Fault Start TimeStamp]])*24)</f>
        <v>23.983333333333334</v>
      </c>
      <c r="S165" s="367">
        <f>(Table6[[#This Row],[Fault Clearance time]]-Table6[[#This Row],[Work Start TimeStamp]])*24</f>
        <v>0</v>
      </c>
      <c r="T165" s="368">
        <f>(Table6[[#This Row],[Fault Clearance time]]-Table6[[#This Row],[Fault Start TimeStamp]])*24</f>
        <v>23.983333333333334</v>
      </c>
      <c r="U165" s="364" t="s">
        <v>498</v>
      </c>
      <c r="V165" s="369" t="s">
        <v>473</v>
      </c>
      <c r="W165" s="354">
        <f>Table6[[#This Row],[Breakdown Time]]*(1/39)</f>
        <v>0.61495726495726499</v>
      </c>
      <c r="X165" s="352" t="s">
        <v>468</v>
      </c>
      <c r="Y165" s="370" t="s">
        <v>141</v>
      </c>
      <c r="Z165" s="121">
        <v>6354</v>
      </c>
      <c r="AA165" s="123">
        <v>6349.5875000000005</v>
      </c>
      <c r="AB165" s="121" t="s">
        <v>478</v>
      </c>
    </row>
    <row r="166" spans="1:28">
      <c r="A166" s="121">
        <f t="shared" si="2"/>
        <v>165</v>
      </c>
      <c r="B166" s="123">
        <f>YEAR(Table6[[#This Row],[Date]])+IF(MONTH(Table6[[#This Row],[Date]])&gt;=4,1,0)</f>
        <v>2026</v>
      </c>
      <c r="C166" s="121">
        <f>YEAR(Table6[[#This Row],[Date]])</f>
        <v>2025</v>
      </c>
      <c r="D166" s="121" t="s">
        <v>490</v>
      </c>
      <c r="E166" s="135">
        <f>Table6[[#This Row],[Date]]-DAY(Table6[[#This Row],[Date]])+1</f>
        <v>45748</v>
      </c>
      <c r="F166" s="134">
        <v>45750</v>
      </c>
      <c r="G166" s="121" t="s">
        <v>142</v>
      </c>
      <c r="H166" s="39" t="str">
        <f>_xlfn.XLOOKUP(Table6[[#This Row],[Affected WTG]],'Basic Data'!$A:$A,'Basic Data'!$B:$B)</f>
        <v>PWEGPL</v>
      </c>
      <c r="I166" s="39" t="str">
        <f>_xlfn.XLOOKUP(Table6[[#This Row],[Affected WTG]],'Basic Data'!$A:$A,'Basic Data'!$C:$C)</f>
        <v>MSEDCL</v>
      </c>
      <c r="J166" s="363">
        <f>IFERROR(VLOOKUP(Table6[[#This Row],[Affected WTG]],'Basic Data'!$A$3:$E$56,5,0),"")</f>
        <v>2.564102564102564E-2</v>
      </c>
      <c r="K166" s="121" t="s">
        <v>492</v>
      </c>
      <c r="L166" s="39" t="str">
        <f>IFERROR(VLOOKUP(Table6[[#This Row],[Error Code]],'Basic Data'!$T:$U,2,0),"")</f>
        <v>Manual Stop - Safety Related</v>
      </c>
      <c r="M166" s="364" t="s">
        <v>481</v>
      </c>
      <c r="O166" s="365">
        <v>0</v>
      </c>
      <c r="P166" s="365">
        <v>0.99930555555555556</v>
      </c>
      <c r="Q166" s="365">
        <v>0.99930555555555556</v>
      </c>
      <c r="R166" s="366">
        <f>IF(Table6[[#This Row],[Work Start TimeStamp]]="","",(Table6[[#This Row],[Work Start TimeStamp]]-Table6[[#This Row],[Fault Start TimeStamp]])*24)</f>
        <v>23.983333333333334</v>
      </c>
      <c r="S166" s="367">
        <f>(Table6[[#This Row],[Fault Clearance time]]-Table6[[#This Row],[Work Start TimeStamp]])*24</f>
        <v>0</v>
      </c>
      <c r="T166" s="368">
        <f>(Table6[[#This Row],[Fault Clearance time]]-Table6[[#This Row],[Fault Start TimeStamp]])*24</f>
        <v>23.983333333333334</v>
      </c>
      <c r="U166" s="364" t="s">
        <v>498</v>
      </c>
      <c r="V166" s="369" t="s">
        <v>473</v>
      </c>
      <c r="W166" s="354">
        <f>Table6[[#This Row],[Breakdown Time]]*(1/39)</f>
        <v>0.61495726495726499</v>
      </c>
      <c r="X166" s="352" t="s">
        <v>468</v>
      </c>
      <c r="Y166" s="370" t="s">
        <v>141</v>
      </c>
      <c r="Z166" s="121">
        <v>6354</v>
      </c>
      <c r="AA166" s="123">
        <v>6349.5875000000005</v>
      </c>
      <c r="AB166" s="121" t="s">
        <v>478</v>
      </c>
    </row>
    <row r="167" spans="1:28">
      <c r="A167" s="121">
        <f t="shared" si="2"/>
        <v>166</v>
      </c>
      <c r="B167" s="123">
        <f>YEAR(Table6[[#This Row],[Date]])+IF(MONTH(Table6[[#This Row],[Date]])&gt;=4,1,0)</f>
        <v>2026</v>
      </c>
      <c r="C167" s="121">
        <f>YEAR(Table6[[#This Row],[Date]])</f>
        <v>2025</v>
      </c>
      <c r="D167" s="121" t="s">
        <v>490</v>
      </c>
      <c r="E167" s="135">
        <f>Table6[[#This Row],[Date]]-DAY(Table6[[#This Row],[Date]])+1</f>
        <v>45748</v>
      </c>
      <c r="F167" s="134">
        <v>45750</v>
      </c>
      <c r="G167" s="121" t="s">
        <v>118</v>
      </c>
      <c r="H167" s="39" t="str">
        <f>_xlfn.XLOOKUP(Table6[[#This Row],[Affected WTG]],'Basic Data'!$A:$A,'Basic Data'!$B:$B)</f>
        <v>PWEGPL</v>
      </c>
      <c r="I167" s="39" t="str">
        <f>_xlfn.XLOOKUP(Table6[[#This Row],[Affected WTG]],'Basic Data'!$A:$A,'Basic Data'!$C:$C)</f>
        <v>MSEDCL</v>
      </c>
      <c r="J167" s="363">
        <f>IFERROR(VLOOKUP(Table6[[#This Row],[Affected WTG]],'Basic Data'!$A$3:$E$56,5,0),"")</f>
        <v>2.564102564102564E-2</v>
      </c>
      <c r="K167" s="121">
        <v>1825</v>
      </c>
      <c r="L167" s="39" t="str">
        <f>IFERROR(VLOOKUP(Table6[[#This Row],[Error Code]],'Basic Data'!$T:$U,2,0),"")</f>
        <v>Automatics Not Ok</v>
      </c>
      <c r="M167" s="364" t="s">
        <v>462</v>
      </c>
      <c r="O167" s="365">
        <v>0.26111111111111113</v>
      </c>
      <c r="P167" s="365">
        <v>0.26111111111111113</v>
      </c>
      <c r="Q167" s="365">
        <v>0.26458333333333334</v>
      </c>
      <c r="R167" s="366">
        <f>IF(Table6[[#This Row],[Work Start TimeStamp]]="","",(Table6[[#This Row],[Work Start TimeStamp]]-Table6[[#This Row],[Fault Start TimeStamp]])*24)</f>
        <v>0</v>
      </c>
      <c r="S167" s="367">
        <f>(Table6[[#This Row],[Fault Clearance time]]-Table6[[#This Row],[Work Start TimeStamp]])*24</f>
        <v>8.3333333333333037E-2</v>
      </c>
      <c r="T167" s="368">
        <f>(Table6[[#This Row],[Fault Clearance time]]-Table6[[#This Row],[Fault Start TimeStamp]])*24</f>
        <v>8.3333333333333037E-2</v>
      </c>
      <c r="U167" s="364" t="s">
        <v>480</v>
      </c>
      <c r="V167" s="369" t="s">
        <v>463</v>
      </c>
      <c r="W167" s="354">
        <f>Table6[[#This Row],[Breakdown Time]]*(1/39)</f>
        <v>2.1367521367521292E-3</v>
      </c>
      <c r="X167" s="352" t="s">
        <v>465</v>
      </c>
      <c r="Y167" s="370" t="s">
        <v>117</v>
      </c>
      <c r="Z167" s="121">
        <v>6462</v>
      </c>
      <c r="AA167" s="123">
        <v>22.437499999999922</v>
      </c>
      <c r="AB167" s="121" t="s">
        <v>478</v>
      </c>
    </row>
    <row r="168" spans="1:28">
      <c r="A168" s="121">
        <f t="shared" si="2"/>
        <v>167</v>
      </c>
      <c r="B168" s="123">
        <f>YEAR(Table6[[#This Row],[Date]])+IF(MONTH(Table6[[#This Row],[Date]])&gt;=4,1,0)</f>
        <v>2026</v>
      </c>
      <c r="C168" s="121">
        <f>YEAR(Table6[[#This Row],[Date]])</f>
        <v>2025</v>
      </c>
      <c r="D168" s="121" t="s">
        <v>490</v>
      </c>
      <c r="E168" s="135">
        <f>Table6[[#This Row],[Date]]-DAY(Table6[[#This Row],[Date]])+1</f>
        <v>45748</v>
      </c>
      <c r="F168" s="134">
        <v>45750</v>
      </c>
      <c r="G168" s="121" t="s">
        <v>118</v>
      </c>
      <c r="H168" s="39" t="str">
        <f>_xlfn.XLOOKUP(Table6[[#This Row],[Affected WTG]],'Basic Data'!$A:$A,'Basic Data'!$B:$B)</f>
        <v>PWEGPL</v>
      </c>
      <c r="I168" s="39" t="str">
        <f>_xlfn.XLOOKUP(Table6[[#This Row],[Affected WTG]],'Basic Data'!$A:$A,'Basic Data'!$C:$C)</f>
        <v>MSEDCL</v>
      </c>
      <c r="J168" s="363">
        <f>IFERROR(VLOOKUP(Table6[[#This Row],[Affected WTG]],'Basic Data'!$A$3:$E$56,5,0),"")</f>
        <v>2.564102564102564E-2</v>
      </c>
      <c r="K168" s="121">
        <v>1825</v>
      </c>
      <c r="L168" s="39" t="str">
        <f>IFERROR(VLOOKUP(Table6[[#This Row],[Error Code]],'Basic Data'!$T:$U,2,0),"")</f>
        <v>Automatics Not Ok</v>
      </c>
      <c r="M168" s="364" t="s">
        <v>462</v>
      </c>
      <c r="O168" s="365">
        <v>0.33194444444444443</v>
      </c>
      <c r="P168" s="365">
        <v>0.33194444444444443</v>
      </c>
      <c r="Q168" s="365">
        <v>0.33541666666666664</v>
      </c>
      <c r="R168" s="366">
        <f>IF(Table6[[#This Row],[Work Start TimeStamp]]="","",(Table6[[#This Row],[Work Start TimeStamp]]-Table6[[#This Row],[Fault Start TimeStamp]])*24)</f>
        <v>0</v>
      </c>
      <c r="S168" s="367">
        <f>(Table6[[#This Row],[Fault Clearance time]]-Table6[[#This Row],[Work Start TimeStamp]])*24</f>
        <v>8.3333333333333037E-2</v>
      </c>
      <c r="T168" s="368">
        <f>(Table6[[#This Row],[Fault Clearance time]]-Table6[[#This Row],[Fault Start TimeStamp]])*24</f>
        <v>8.3333333333333037E-2</v>
      </c>
      <c r="U168" s="364" t="s">
        <v>480</v>
      </c>
      <c r="V168" s="369" t="s">
        <v>463</v>
      </c>
      <c r="W168" s="354">
        <f>Table6[[#This Row],[Breakdown Time]]*(1/39)</f>
        <v>2.1367521367521292E-3</v>
      </c>
      <c r="X168" s="352" t="s">
        <v>465</v>
      </c>
      <c r="Y168" s="370" t="s">
        <v>117</v>
      </c>
      <c r="Z168" s="121">
        <v>6462</v>
      </c>
      <c r="AA168" s="123">
        <v>22.437499999999922</v>
      </c>
      <c r="AB168" s="121" t="s">
        <v>478</v>
      </c>
    </row>
    <row r="169" spans="1:28">
      <c r="A169" s="121">
        <f t="shared" si="2"/>
        <v>168</v>
      </c>
      <c r="B169" s="123">
        <f>YEAR(Table6[[#This Row],[Date]])+IF(MONTH(Table6[[#This Row],[Date]])&gt;=4,1,0)</f>
        <v>2026</v>
      </c>
      <c r="C169" s="121">
        <f>YEAR(Table6[[#This Row],[Date]])</f>
        <v>2025</v>
      </c>
      <c r="D169" s="121" t="s">
        <v>490</v>
      </c>
      <c r="E169" s="135">
        <f>Table6[[#This Row],[Date]]-DAY(Table6[[#This Row],[Date]])+1</f>
        <v>45748</v>
      </c>
      <c r="F169" s="134">
        <v>45750</v>
      </c>
      <c r="G169" s="121" t="s">
        <v>118</v>
      </c>
      <c r="H169" s="39" t="str">
        <f>_xlfn.XLOOKUP(Table6[[#This Row],[Affected WTG]],'Basic Data'!$A:$A,'Basic Data'!$B:$B)</f>
        <v>PWEGPL</v>
      </c>
      <c r="I169" s="39" t="str">
        <f>_xlfn.XLOOKUP(Table6[[#This Row],[Affected WTG]],'Basic Data'!$A:$A,'Basic Data'!$C:$C)</f>
        <v>MSEDCL</v>
      </c>
      <c r="J169" s="363">
        <f>IFERROR(VLOOKUP(Table6[[#This Row],[Affected WTG]],'Basic Data'!$A$3:$E$56,5,0),"")</f>
        <v>2.564102564102564E-2</v>
      </c>
      <c r="K169" s="121">
        <v>1825</v>
      </c>
      <c r="L169" s="39" t="str">
        <f>IFERROR(VLOOKUP(Table6[[#This Row],[Error Code]],'Basic Data'!$T:$U,2,0),"")</f>
        <v>Automatics Not Ok</v>
      </c>
      <c r="M169" s="364" t="s">
        <v>462</v>
      </c>
      <c r="O169" s="365">
        <v>0.67638888888888893</v>
      </c>
      <c r="P169" s="365">
        <v>0.67638888888888893</v>
      </c>
      <c r="Q169" s="365">
        <v>0.67986111111111114</v>
      </c>
      <c r="R169" s="366">
        <f>IF(Table6[[#This Row],[Work Start TimeStamp]]="","",(Table6[[#This Row],[Work Start TimeStamp]]-Table6[[#This Row],[Fault Start TimeStamp]])*24)</f>
        <v>0</v>
      </c>
      <c r="S169" s="367">
        <f>(Table6[[#This Row],[Fault Clearance time]]-Table6[[#This Row],[Work Start TimeStamp]])*24</f>
        <v>8.3333333333333037E-2</v>
      </c>
      <c r="T169" s="368">
        <f>(Table6[[#This Row],[Fault Clearance time]]-Table6[[#This Row],[Fault Start TimeStamp]])*24</f>
        <v>8.3333333333333037E-2</v>
      </c>
      <c r="U169" s="364" t="s">
        <v>480</v>
      </c>
      <c r="V169" s="369" t="s">
        <v>463</v>
      </c>
      <c r="W169" s="354">
        <f>Table6[[#This Row],[Breakdown Time]]*(1/39)</f>
        <v>2.1367521367521292E-3</v>
      </c>
      <c r="X169" s="352" t="s">
        <v>465</v>
      </c>
      <c r="Y169" s="370" t="s">
        <v>117</v>
      </c>
      <c r="Z169" s="121">
        <v>6462</v>
      </c>
      <c r="AA169" s="123">
        <v>22.437499999999922</v>
      </c>
      <c r="AB169" s="121" t="s">
        <v>478</v>
      </c>
    </row>
    <row r="170" spans="1:28">
      <c r="A170" s="121">
        <f t="shared" si="2"/>
        <v>169</v>
      </c>
      <c r="B170" s="123">
        <f>YEAR(Table6[[#This Row],[Date]])+IF(MONTH(Table6[[#This Row],[Date]])&gt;=4,1,0)</f>
        <v>2026</v>
      </c>
      <c r="C170" s="121">
        <f>YEAR(Table6[[#This Row],[Date]])</f>
        <v>2025</v>
      </c>
      <c r="D170" s="121" t="s">
        <v>490</v>
      </c>
      <c r="E170" s="135">
        <f>Table6[[#This Row],[Date]]-DAY(Table6[[#This Row],[Date]])+1</f>
        <v>45748</v>
      </c>
      <c r="F170" s="134">
        <v>45750</v>
      </c>
      <c r="G170" s="121" t="s">
        <v>120</v>
      </c>
      <c r="H170" s="39" t="str">
        <f>_xlfn.XLOOKUP(Table6[[#This Row],[Affected WTG]],'Basic Data'!$A:$A,'Basic Data'!$B:$B)</f>
        <v>PWEGPL</v>
      </c>
      <c r="I170" s="39" t="str">
        <f>_xlfn.XLOOKUP(Table6[[#This Row],[Affected WTG]],'Basic Data'!$A:$A,'Basic Data'!$C:$C)</f>
        <v>MSEDCL</v>
      </c>
      <c r="J170" s="363">
        <f>IFERROR(VLOOKUP(Table6[[#This Row],[Affected WTG]],'Basic Data'!$A$3:$E$56,5,0),"")</f>
        <v>2.564102564102564E-2</v>
      </c>
      <c r="K170" s="121">
        <v>5216</v>
      </c>
      <c r="L170" s="39" t="str">
        <f>IFERROR(VLOOKUP(Table6[[#This Row],[Error Code]],'Basic Data'!$T:$U,2,0),"")</f>
        <v>Grid Voltage Failure</v>
      </c>
      <c r="M170" s="364" t="s">
        <v>462</v>
      </c>
      <c r="O170" s="365">
        <v>0.75694444444444442</v>
      </c>
      <c r="P170" s="365">
        <v>0.79166666666666663</v>
      </c>
      <c r="Q170" s="365">
        <v>0.81388888888888888</v>
      </c>
      <c r="R170" s="366">
        <f>IF(Table6[[#This Row],[Work Start TimeStamp]]="","",(Table6[[#This Row],[Work Start TimeStamp]]-Table6[[#This Row],[Fault Start TimeStamp]])*24)</f>
        <v>0.83333333333333304</v>
      </c>
      <c r="S170" s="367">
        <f>(Table6[[#This Row],[Fault Clearance time]]-Table6[[#This Row],[Work Start TimeStamp]])*24</f>
        <v>0.5333333333333341</v>
      </c>
      <c r="T170" s="368">
        <f>(Table6[[#This Row],[Fault Clearance time]]-Table6[[#This Row],[Fault Start TimeStamp]])*24</f>
        <v>1.3666666666666671</v>
      </c>
      <c r="U170" s="364" t="s">
        <v>528</v>
      </c>
      <c r="V170" s="369" t="s">
        <v>463</v>
      </c>
      <c r="W170" s="354">
        <f>Table6[[#This Row],[Breakdown Time]]*(1/39)</f>
        <v>3.5042735042735057E-2</v>
      </c>
      <c r="X170" s="352" t="s">
        <v>465</v>
      </c>
      <c r="Y170" s="370" t="s">
        <v>117</v>
      </c>
      <c r="Z170" s="121">
        <v>6462</v>
      </c>
      <c r="AA170" s="123">
        <v>367.97500000000014</v>
      </c>
      <c r="AB170" s="121" t="s">
        <v>478</v>
      </c>
    </row>
    <row r="171" spans="1:28">
      <c r="A171" s="121">
        <f t="shared" si="2"/>
        <v>170</v>
      </c>
      <c r="B171" s="123">
        <f>YEAR(Table6[[#This Row],[Date]])+IF(MONTH(Table6[[#This Row],[Date]])&gt;=4,1,0)</f>
        <v>2026</v>
      </c>
      <c r="C171" s="121">
        <f>YEAR(Table6[[#This Row],[Date]])</f>
        <v>2025</v>
      </c>
      <c r="D171" s="121" t="s">
        <v>490</v>
      </c>
      <c r="E171" s="135">
        <f>Table6[[#This Row],[Date]]-DAY(Table6[[#This Row],[Date]])+1</f>
        <v>45748</v>
      </c>
      <c r="F171" s="134">
        <v>45750</v>
      </c>
      <c r="G171" s="121" t="s">
        <v>120</v>
      </c>
      <c r="H171" s="39" t="str">
        <f>_xlfn.XLOOKUP(Table6[[#This Row],[Affected WTG]],'Basic Data'!$A:$A,'Basic Data'!$B:$B)</f>
        <v>PWEGPL</v>
      </c>
      <c r="I171" s="39" t="str">
        <f>_xlfn.XLOOKUP(Table6[[#This Row],[Affected WTG]],'Basic Data'!$A:$A,'Basic Data'!$C:$C)</f>
        <v>MSEDCL</v>
      </c>
      <c r="J171" s="363">
        <f>IFERROR(VLOOKUP(Table6[[#This Row],[Affected WTG]],'Basic Data'!$A$3:$E$56,5,0),"")</f>
        <v>2.564102564102564E-2</v>
      </c>
      <c r="K171" s="121">
        <v>5216</v>
      </c>
      <c r="L171" s="39" t="str">
        <f>IFERROR(VLOOKUP(Table6[[#This Row],[Error Code]],'Basic Data'!$T:$U,2,0),"")</f>
        <v>Grid Voltage Failure</v>
      </c>
      <c r="M171" s="364" t="s">
        <v>462</v>
      </c>
      <c r="O171" s="365">
        <v>0.83402777777777781</v>
      </c>
      <c r="P171" s="365">
        <v>0.90763888888888888</v>
      </c>
      <c r="Q171" s="365">
        <v>0.99930555555555556</v>
      </c>
      <c r="R171" s="366">
        <f>IF(Table6[[#This Row],[Work Start TimeStamp]]="","",(Table6[[#This Row],[Work Start TimeStamp]]-Table6[[#This Row],[Fault Start TimeStamp]])*24)</f>
        <v>1.7666666666666657</v>
      </c>
      <c r="S171" s="367">
        <f>(Table6[[#This Row],[Fault Clearance time]]-Table6[[#This Row],[Work Start TimeStamp]])*24</f>
        <v>2.2000000000000002</v>
      </c>
      <c r="T171" s="368">
        <f>(Table6[[#This Row],[Fault Clearance time]]-Table6[[#This Row],[Fault Start TimeStamp]])*24</f>
        <v>3.9666666666666659</v>
      </c>
      <c r="U171" s="364" t="s">
        <v>500</v>
      </c>
      <c r="V171" s="369" t="s">
        <v>473</v>
      </c>
      <c r="W171" s="354">
        <f>Table6[[#This Row],[Breakdown Time]]*(1/39)</f>
        <v>0.10170940170940168</v>
      </c>
      <c r="X171" s="352" t="s">
        <v>465</v>
      </c>
      <c r="Y171" s="370" t="s">
        <v>117</v>
      </c>
      <c r="Z171" s="121">
        <v>6462</v>
      </c>
      <c r="AA171" s="123">
        <v>1068.0249999999999</v>
      </c>
      <c r="AB171" s="121" t="s">
        <v>478</v>
      </c>
    </row>
    <row r="172" spans="1:28">
      <c r="A172" s="121">
        <f t="shared" si="2"/>
        <v>171</v>
      </c>
      <c r="B172" s="123">
        <f>YEAR(Table6[[#This Row],[Date]])+IF(MONTH(Table6[[#This Row],[Date]])&gt;=4,1,0)</f>
        <v>2026</v>
      </c>
      <c r="C172" s="121">
        <f>YEAR(Table6[[#This Row],[Date]])</f>
        <v>2025</v>
      </c>
      <c r="D172" s="121" t="s">
        <v>490</v>
      </c>
      <c r="E172" s="135">
        <f>Table6[[#This Row],[Date]]-DAY(Table6[[#This Row],[Date]])+1</f>
        <v>45748</v>
      </c>
      <c r="F172" s="134">
        <v>45750</v>
      </c>
      <c r="G172" s="121" t="s">
        <v>121</v>
      </c>
      <c r="H172" s="39" t="str">
        <f>_xlfn.XLOOKUP(Table6[[#This Row],[Affected WTG]],'Basic Data'!$A:$A,'Basic Data'!$B:$B)</f>
        <v>PWEGPL</v>
      </c>
      <c r="I172" s="39" t="str">
        <f>_xlfn.XLOOKUP(Table6[[#This Row],[Affected WTG]],'Basic Data'!$A:$A,'Basic Data'!$C:$C)</f>
        <v>MSEDCL</v>
      </c>
      <c r="J172" s="363">
        <f>IFERROR(VLOOKUP(Table6[[#This Row],[Affected WTG]],'Basic Data'!$A$3:$E$56,5,0),"")</f>
        <v>2.564102564102564E-2</v>
      </c>
      <c r="K172" s="121">
        <v>205</v>
      </c>
      <c r="L172" s="39" t="str">
        <f>IFERROR(VLOOKUP(Table6[[#This Row],[Error Code]],'Basic Data'!$T:$U,2,0),"")</f>
        <v>Low Level Hydraulic Group Refrigeration Oil</v>
      </c>
      <c r="M172" s="364" t="s">
        <v>462</v>
      </c>
      <c r="O172" s="365">
        <v>0.15486111111111112</v>
      </c>
      <c r="P172" s="365">
        <v>0.15486111111111112</v>
      </c>
      <c r="Q172" s="365">
        <v>0.28680555555555554</v>
      </c>
      <c r="R172" s="366">
        <f>IF(Table6[[#This Row],[Work Start TimeStamp]]="","",(Table6[[#This Row],[Work Start TimeStamp]]-Table6[[#This Row],[Fault Start TimeStamp]])*24)</f>
        <v>0</v>
      </c>
      <c r="S172" s="367">
        <f>(Table6[[#This Row],[Fault Clearance time]]-Table6[[#This Row],[Work Start TimeStamp]])*24</f>
        <v>3.1666666666666661</v>
      </c>
      <c r="T172" s="368">
        <f>(Table6[[#This Row],[Fault Clearance time]]-Table6[[#This Row],[Fault Start TimeStamp]])*24</f>
        <v>3.1666666666666661</v>
      </c>
      <c r="U172" s="364" t="s">
        <v>493</v>
      </c>
      <c r="V172" s="369" t="s">
        <v>463</v>
      </c>
      <c r="W172" s="354">
        <f>Table6[[#This Row],[Breakdown Time]]*(1/39)</f>
        <v>8.1196581196581172E-2</v>
      </c>
      <c r="X172" s="352" t="s">
        <v>465</v>
      </c>
      <c r="Y172" s="370" t="s">
        <v>115</v>
      </c>
      <c r="Z172" s="121">
        <v>7048</v>
      </c>
      <c r="AA172" s="123">
        <v>929.94444444444434</v>
      </c>
      <c r="AB172" s="121" t="s">
        <v>478</v>
      </c>
    </row>
    <row r="173" spans="1:28">
      <c r="A173" s="121">
        <f t="shared" si="2"/>
        <v>172</v>
      </c>
      <c r="B173" s="123">
        <f>YEAR(Table6[[#This Row],[Date]])+IF(MONTH(Table6[[#This Row],[Date]])&gt;=4,1,0)</f>
        <v>2026</v>
      </c>
      <c r="C173" s="121">
        <f>YEAR(Table6[[#This Row],[Date]])</f>
        <v>2025</v>
      </c>
      <c r="D173" s="121" t="s">
        <v>490</v>
      </c>
      <c r="E173" s="135">
        <f>Table6[[#This Row],[Date]]-DAY(Table6[[#This Row],[Date]])+1</f>
        <v>45748</v>
      </c>
      <c r="F173" s="134">
        <v>45750</v>
      </c>
      <c r="G173" s="121" t="s">
        <v>121</v>
      </c>
      <c r="H173" s="39" t="str">
        <f>_xlfn.XLOOKUP(Table6[[#This Row],[Affected WTG]],'Basic Data'!$A:$A,'Basic Data'!$B:$B)</f>
        <v>PWEGPL</v>
      </c>
      <c r="I173" s="39" t="str">
        <f>_xlfn.XLOOKUP(Table6[[#This Row],[Affected WTG]],'Basic Data'!$A:$A,'Basic Data'!$C:$C)</f>
        <v>MSEDCL</v>
      </c>
      <c r="J173" s="363">
        <f>IFERROR(VLOOKUP(Table6[[#This Row],[Affected WTG]],'Basic Data'!$A$3:$E$56,5,0),"")</f>
        <v>2.564102564102564E-2</v>
      </c>
      <c r="K173" s="121">
        <v>813</v>
      </c>
      <c r="L173" s="39" t="str">
        <f>IFERROR(VLOOKUP(Table6[[#This Row],[Error Code]],'Basic Data'!$T:$U,2,0),"")</f>
        <v>Low Pressure Of Emergency Accumulators</v>
      </c>
      <c r="M173" s="364" t="s">
        <v>462</v>
      </c>
      <c r="O173" s="365">
        <v>0.77916666666666667</v>
      </c>
      <c r="P173" s="365">
        <v>0.82638888888888884</v>
      </c>
      <c r="Q173" s="365">
        <v>0.82638888888888884</v>
      </c>
      <c r="R173" s="366">
        <f>IF(Table6[[#This Row],[Work Start TimeStamp]]="","",(Table6[[#This Row],[Work Start TimeStamp]]-Table6[[#This Row],[Fault Start TimeStamp]])*24)</f>
        <v>1.133333333333332</v>
      </c>
      <c r="S173" s="367">
        <f>(Table6[[#This Row],[Fault Clearance time]]-Table6[[#This Row],[Work Start TimeStamp]])*24</f>
        <v>0</v>
      </c>
      <c r="T173" s="368">
        <f>(Table6[[#This Row],[Fault Clearance time]]-Table6[[#This Row],[Fault Start TimeStamp]])*24</f>
        <v>1.133333333333332</v>
      </c>
      <c r="U173" s="364" t="s">
        <v>493</v>
      </c>
      <c r="V173" s="369" t="s">
        <v>463</v>
      </c>
      <c r="W173" s="354">
        <f>Table6[[#This Row],[Breakdown Time]]*(1/39)</f>
        <v>2.9059829059829023E-2</v>
      </c>
      <c r="X173" s="352" t="s">
        <v>465</v>
      </c>
      <c r="Y173" s="370" t="s">
        <v>115</v>
      </c>
      <c r="Z173" s="121">
        <v>7048</v>
      </c>
      <c r="AA173" s="123">
        <v>332.82222222222185</v>
      </c>
      <c r="AB173" s="121" t="s">
        <v>478</v>
      </c>
    </row>
    <row r="174" spans="1:28">
      <c r="A174" s="121">
        <f t="shared" si="2"/>
        <v>173</v>
      </c>
      <c r="B174" s="123">
        <f>YEAR(Table6[[#This Row],[Date]])+IF(MONTH(Table6[[#This Row],[Date]])&gt;=4,1,0)</f>
        <v>2026</v>
      </c>
      <c r="C174" s="121">
        <f>YEAR(Table6[[#This Row],[Date]])</f>
        <v>2025</v>
      </c>
      <c r="D174" s="121" t="s">
        <v>490</v>
      </c>
      <c r="E174" s="135">
        <f>Table6[[#This Row],[Date]]-DAY(Table6[[#This Row],[Date]])+1</f>
        <v>45748</v>
      </c>
      <c r="F174" s="134">
        <v>45750</v>
      </c>
      <c r="G174" s="121" t="s">
        <v>121</v>
      </c>
      <c r="H174" s="39" t="str">
        <f>_xlfn.XLOOKUP(Table6[[#This Row],[Affected WTG]],'Basic Data'!$A:$A,'Basic Data'!$B:$B)</f>
        <v>PWEGPL</v>
      </c>
      <c r="I174" s="39" t="str">
        <f>_xlfn.XLOOKUP(Table6[[#This Row],[Affected WTG]],'Basic Data'!$A:$A,'Basic Data'!$C:$C)</f>
        <v>MSEDCL</v>
      </c>
      <c r="J174" s="363">
        <f>IFERROR(VLOOKUP(Table6[[#This Row],[Affected WTG]],'Basic Data'!$A$3:$E$56,5,0),"")</f>
        <v>2.564102564102564E-2</v>
      </c>
      <c r="K174" s="121">
        <v>2102</v>
      </c>
      <c r="L174" s="39" t="str">
        <f>IFERROR(VLOOKUP(Table6[[#This Row],[Error Code]],'Basic Data'!$T:$U,2,0),"")</f>
        <v>PLC Module Failure</v>
      </c>
      <c r="M174" s="364" t="s">
        <v>462</v>
      </c>
      <c r="O174" s="365">
        <v>0.85972222222222228</v>
      </c>
      <c r="P174" s="365">
        <v>0.85972222222222228</v>
      </c>
      <c r="Q174" s="365">
        <v>0.99930555555555556</v>
      </c>
      <c r="R174" s="366">
        <f>IF(Table6[[#This Row],[Work Start TimeStamp]]="","",(Table6[[#This Row],[Work Start TimeStamp]]-Table6[[#This Row],[Fault Start TimeStamp]])*24)</f>
        <v>0</v>
      </c>
      <c r="S174" s="367">
        <f>(Table6[[#This Row],[Fault Clearance time]]-Table6[[#This Row],[Work Start TimeStamp]])*24</f>
        <v>3.3499999999999988</v>
      </c>
      <c r="T174" s="368">
        <f>(Table6[[#This Row],[Fault Clearance time]]-Table6[[#This Row],[Fault Start TimeStamp]])*24</f>
        <v>3.3499999999999988</v>
      </c>
      <c r="U174" s="364" t="s">
        <v>500</v>
      </c>
      <c r="V174" s="369" t="s">
        <v>463</v>
      </c>
      <c r="W174" s="354">
        <f>Table6[[#This Row],[Breakdown Time]]*(1/39)</f>
        <v>8.5897435897435856E-2</v>
      </c>
      <c r="X174" s="352" t="s">
        <v>465</v>
      </c>
      <c r="Y174" s="370" t="s">
        <v>115</v>
      </c>
      <c r="Z174" s="121">
        <v>7048</v>
      </c>
      <c r="AA174" s="123">
        <v>983.78333333333308</v>
      </c>
      <c r="AB174" s="121" t="s">
        <v>478</v>
      </c>
    </row>
    <row r="175" spans="1:28">
      <c r="A175" s="121">
        <f t="shared" si="2"/>
        <v>174</v>
      </c>
      <c r="B175" s="123">
        <f>YEAR(Table6[[#This Row],[Date]])+IF(MONTH(Table6[[#This Row],[Date]])&gt;=4,1,0)</f>
        <v>2026</v>
      </c>
      <c r="C175" s="121">
        <f>YEAR(Table6[[#This Row],[Date]])</f>
        <v>2025</v>
      </c>
      <c r="D175" s="121" t="s">
        <v>490</v>
      </c>
      <c r="E175" s="135">
        <f>Table6[[#This Row],[Date]]-DAY(Table6[[#This Row],[Date]])+1</f>
        <v>45748</v>
      </c>
      <c r="F175" s="134">
        <v>45750</v>
      </c>
      <c r="G175" s="121" t="s">
        <v>127</v>
      </c>
      <c r="H175" s="39" t="str">
        <f>_xlfn.XLOOKUP(Table6[[#This Row],[Affected WTG]],'Basic Data'!$A:$A,'Basic Data'!$B:$B)</f>
        <v>PWEGPL</v>
      </c>
      <c r="I175" s="39" t="str">
        <f>_xlfn.XLOOKUP(Table6[[#This Row],[Affected WTG]],'Basic Data'!$A:$A,'Basic Data'!$C:$C)</f>
        <v>MSEDCL</v>
      </c>
      <c r="J175" s="363">
        <f>IFERROR(VLOOKUP(Table6[[#This Row],[Affected WTG]],'Basic Data'!$A$3:$E$56,5,0),"")</f>
        <v>2.564102564102564E-2</v>
      </c>
      <c r="K175" s="121">
        <v>500</v>
      </c>
      <c r="L175" s="39" t="str">
        <f>IFERROR(VLOOKUP(Table6[[#This Row],[Error Code]],'Basic Data'!$T:$U,2,0),"")</f>
        <v>High Generator Winding Temperature</v>
      </c>
      <c r="M175" s="364" t="s">
        <v>462</v>
      </c>
      <c r="O175" s="365">
        <v>0.47986111111111113</v>
      </c>
      <c r="P175" s="365">
        <v>0.47986111111111113</v>
      </c>
      <c r="Q175" s="365">
        <v>0.48333333333333334</v>
      </c>
      <c r="R175" s="366">
        <f>IF(Table6[[#This Row],[Work Start TimeStamp]]="","",(Table6[[#This Row],[Work Start TimeStamp]]-Table6[[#This Row],[Fault Start TimeStamp]])*24)</f>
        <v>0</v>
      </c>
      <c r="S175" s="367">
        <f>(Table6[[#This Row],[Fault Clearance time]]-Table6[[#This Row],[Work Start TimeStamp]])*24</f>
        <v>8.3333333333333037E-2</v>
      </c>
      <c r="T175" s="368">
        <f>(Table6[[#This Row],[Fault Clearance time]]-Table6[[#This Row],[Fault Start TimeStamp]])*24</f>
        <v>8.3333333333333037E-2</v>
      </c>
      <c r="U175" s="364" t="s">
        <v>480</v>
      </c>
      <c r="V175" s="369" t="s">
        <v>463</v>
      </c>
      <c r="W175" s="354">
        <f>Table6[[#This Row],[Breakdown Time]]*(1/39)</f>
        <v>2.1367521367521292E-3</v>
      </c>
      <c r="X175" s="352" t="s">
        <v>465</v>
      </c>
      <c r="Y175" s="370" t="s">
        <v>126</v>
      </c>
      <c r="Z175" s="121">
        <v>8930</v>
      </c>
      <c r="AA175" s="123">
        <v>31.006944444444333</v>
      </c>
      <c r="AB175" s="121" t="s">
        <v>478</v>
      </c>
    </row>
    <row r="176" spans="1:28">
      <c r="A176" s="121">
        <f t="shared" si="2"/>
        <v>175</v>
      </c>
      <c r="B176" s="123">
        <f>YEAR(Table6[[#This Row],[Date]])+IF(MONTH(Table6[[#This Row],[Date]])&gt;=4,1,0)</f>
        <v>2026</v>
      </c>
      <c r="C176" s="121">
        <f>YEAR(Table6[[#This Row],[Date]])</f>
        <v>2025</v>
      </c>
      <c r="D176" s="121" t="s">
        <v>490</v>
      </c>
      <c r="E176" s="135">
        <f>Table6[[#This Row],[Date]]-DAY(Table6[[#This Row],[Date]])+1</f>
        <v>45748</v>
      </c>
      <c r="F176" s="134">
        <v>45750</v>
      </c>
      <c r="G176" s="121" t="s">
        <v>130</v>
      </c>
      <c r="H176" s="39" t="str">
        <f>_xlfn.XLOOKUP(Table6[[#This Row],[Affected WTG]],'Basic Data'!$A:$A,'Basic Data'!$B:$B)</f>
        <v>PWEGPL</v>
      </c>
      <c r="I176" s="39" t="str">
        <f>_xlfn.XLOOKUP(Table6[[#This Row],[Affected WTG]],'Basic Data'!$A:$A,'Basic Data'!$C:$C)</f>
        <v>MSEDCL</v>
      </c>
      <c r="J176" s="363">
        <f>IFERROR(VLOOKUP(Table6[[#This Row],[Affected WTG]],'Basic Data'!$A$3:$E$56,5,0),"")</f>
        <v>2.564102564102564E-2</v>
      </c>
      <c r="K176" s="121">
        <v>2118</v>
      </c>
      <c r="L176" s="39" t="str">
        <f>IFERROR(VLOOKUP(Table6[[#This Row],[Error Code]],'Basic Data'!$T:$U,2,0),"")</f>
        <v>Bus Error - Interbus Failure</v>
      </c>
      <c r="M176" s="364" t="s">
        <v>462</v>
      </c>
      <c r="O176" s="365">
        <v>0.81944444444444442</v>
      </c>
      <c r="P176" s="365">
        <v>0.92222222222222228</v>
      </c>
      <c r="Q176" s="365">
        <v>0.94444444444444442</v>
      </c>
      <c r="R176" s="366">
        <f>IF(Table6[[#This Row],[Work Start TimeStamp]]="","",(Table6[[#This Row],[Work Start TimeStamp]]-Table6[[#This Row],[Fault Start TimeStamp]])*24)</f>
        <v>2.4666666666666686</v>
      </c>
      <c r="S176" s="367">
        <f>(Table6[[#This Row],[Fault Clearance time]]-Table6[[#This Row],[Work Start TimeStamp]])*24</f>
        <v>0.53333333333333144</v>
      </c>
      <c r="T176" s="368">
        <f>(Table6[[#This Row],[Fault Clearance time]]-Table6[[#This Row],[Fault Start TimeStamp]])*24</f>
        <v>3</v>
      </c>
      <c r="U176" s="364" t="s">
        <v>491</v>
      </c>
      <c r="V176" s="369" t="s">
        <v>463</v>
      </c>
      <c r="W176" s="354">
        <f>Table6[[#This Row],[Breakdown Time]]*(1/39)</f>
        <v>7.6923076923076927E-2</v>
      </c>
      <c r="X176" s="352" t="s">
        <v>465</v>
      </c>
      <c r="Y176" s="370" t="s">
        <v>131</v>
      </c>
      <c r="Z176" s="121">
        <v>10152</v>
      </c>
      <c r="AA176" s="123">
        <v>1269</v>
      </c>
      <c r="AB176" s="121" t="s">
        <v>478</v>
      </c>
    </row>
    <row r="177" spans="1:28">
      <c r="A177" s="121">
        <f t="shared" si="2"/>
        <v>176</v>
      </c>
      <c r="B177" s="123">
        <f>YEAR(Table6[[#This Row],[Date]])+IF(MONTH(Table6[[#This Row],[Date]])&gt;=4,1,0)</f>
        <v>2026</v>
      </c>
      <c r="C177" s="121">
        <f>YEAR(Table6[[#This Row],[Date]])</f>
        <v>2025</v>
      </c>
      <c r="D177" s="121" t="s">
        <v>490</v>
      </c>
      <c r="E177" s="135">
        <f>Table6[[#This Row],[Date]]-DAY(Table6[[#This Row],[Date]])+1</f>
        <v>45748</v>
      </c>
      <c r="F177" s="134">
        <v>45750</v>
      </c>
      <c r="G177" s="121" t="s">
        <v>130</v>
      </c>
      <c r="H177" s="39" t="str">
        <f>_xlfn.XLOOKUP(Table6[[#This Row],[Affected WTG]],'Basic Data'!$A:$A,'Basic Data'!$B:$B)</f>
        <v>PWEGPL</v>
      </c>
      <c r="I177" s="39" t="str">
        <f>_xlfn.XLOOKUP(Table6[[#This Row],[Affected WTG]],'Basic Data'!$A:$A,'Basic Data'!$C:$C)</f>
        <v>MSEDCL</v>
      </c>
      <c r="J177" s="363">
        <f>IFERROR(VLOOKUP(Table6[[#This Row],[Affected WTG]],'Basic Data'!$A$3:$E$56,5,0),"")</f>
        <v>2.564102564102564E-2</v>
      </c>
      <c r="K177" s="121">
        <v>5248</v>
      </c>
      <c r="L177" s="39" t="str">
        <f>IFERROR(VLOOKUP(Table6[[#This Row],[Error Code]],'Basic Data'!$T:$U,2,0),"")</f>
        <v>Active Crowbar IGBT Errors</v>
      </c>
      <c r="M177" s="364" t="s">
        <v>462</v>
      </c>
      <c r="O177" s="365">
        <v>0.99375000000000002</v>
      </c>
      <c r="P177" s="365">
        <v>0.99375000000000002</v>
      </c>
      <c r="Q177" s="365">
        <v>0.99930555555555556</v>
      </c>
      <c r="R177" s="366">
        <f>IF(Table6[[#This Row],[Work Start TimeStamp]]="","",(Table6[[#This Row],[Work Start TimeStamp]]-Table6[[#This Row],[Fault Start TimeStamp]])*24)</f>
        <v>0</v>
      </c>
      <c r="S177" s="367">
        <f>(Table6[[#This Row],[Fault Clearance time]]-Table6[[#This Row],[Work Start TimeStamp]])*24</f>
        <v>0.13333333333333286</v>
      </c>
      <c r="T177" s="368">
        <f>(Table6[[#This Row],[Fault Clearance time]]-Table6[[#This Row],[Fault Start TimeStamp]])*24</f>
        <v>0.13333333333333286</v>
      </c>
      <c r="U177" s="364" t="s">
        <v>500</v>
      </c>
      <c r="V177" s="369" t="s">
        <v>463</v>
      </c>
      <c r="W177" s="354">
        <f>Table6[[#This Row],[Breakdown Time]]*(1/39)</f>
        <v>3.4188034188034067E-3</v>
      </c>
      <c r="X177" s="352" t="s">
        <v>465</v>
      </c>
      <c r="Y177" s="370" t="s">
        <v>131</v>
      </c>
      <c r="Z177" s="121">
        <v>10152</v>
      </c>
      <c r="AA177" s="123">
        <v>56.3999999999998</v>
      </c>
      <c r="AB177" s="121" t="s">
        <v>478</v>
      </c>
    </row>
    <row r="178" spans="1:28">
      <c r="A178" s="121">
        <f t="shared" si="2"/>
        <v>177</v>
      </c>
      <c r="B178" s="123">
        <f>YEAR(Table6[[#This Row],[Date]])+IF(MONTH(Table6[[#This Row],[Date]])&gt;=4,1,0)</f>
        <v>2026</v>
      </c>
      <c r="C178" s="121">
        <f>YEAR(Table6[[#This Row],[Date]])</f>
        <v>2025</v>
      </c>
      <c r="D178" s="121" t="s">
        <v>490</v>
      </c>
      <c r="E178" s="135">
        <f>Table6[[#This Row],[Date]]-DAY(Table6[[#This Row],[Date]])+1</f>
        <v>45748</v>
      </c>
      <c r="F178" s="134">
        <v>45750</v>
      </c>
      <c r="G178" s="121" t="s">
        <v>132</v>
      </c>
      <c r="H178" s="39" t="str">
        <f>_xlfn.XLOOKUP(Table6[[#This Row],[Affected WTG]],'Basic Data'!$A:$A,'Basic Data'!$B:$B)</f>
        <v>PWEGPL</v>
      </c>
      <c r="I178" s="39" t="str">
        <f>_xlfn.XLOOKUP(Table6[[#This Row],[Affected WTG]],'Basic Data'!$A:$A,'Basic Data'!$C:$C)</f>
        <v>MSEDCL</v>
      </c>
      <c r="J178" s="363">
        <f>IFERROR(VLOOKUP(Table6[[#This Row],[Affected WTG]],'Basic Data'!$A$3:$E$56,5,0),"")</f>
        <v>2.564102564102564E-2</v>
      </c>
      <c r="K178" s="121">
        <v>813</v>
      </c>
      <c r="L178" s="39" t="str">
        <f>IFERROR(VLOOKUP(Table6[[#This Row],[Error Code]],'Basic Data'!$T:$U,2,0),"")</f>
        <v>Low Pressure Of Emergency Accumulators</v>
      </c>
      <c r="M178" s="364" t="s">
        <v>462</v>
      </c>
      <c r="O178" s="365">
        <v>0.82361111111111107</v>
      </c>
      <c r="P178" s="365">
        <v>0.82361111111111107</v>
      </c>
      <c r="Q178" s="365">
        <v>0.82708333333333328</v>
      </c>
      <c r="R178" s="366">
        <f>IF(Table6[[#This Row],[Work Start TimeStamp]]="","",(Table6[[#This Row],[Work Start TimeStamp]]-Table6[[#This Row],[Fault Start TimeStamp]])*24)</f>
        <v>0</v>
      </c>
      <c r="S178" s="367">
        <f>(Table6[[#This Row],[Fault Clearance time]]-Table6[[#This Row],[Work Start TimeStamp]])*24</f>
        <v>8.3333333333333037E-2</v>
      </c>
      <c r="T178" s="368">
        <f>(Table6[[#This Row],[Fault Clearance time]]-Table6[[#This Row],[Fault Start TimeStamp]])*24</f>
        <v>8.3333333333333037E-2</v>
      </c>
      <c r="U178" s="364" t="s">
        <v>480</v>
      </c>
      <c r="V178" s="369" t="s">
        <v>463</v>
      </c>
      <c r="W178" s="354">
        <f>Table6[[#This Row],[Breakdown Time]]*(1/39)</f>
        <v>2.1367521367521292E-3</v>
      </c>
      <c r="X178" s="352" t="s">
        <v>465</v>
      </c>
      <c r="Y178" s="370" t="s">
        <v>133</v>
      </c>
      <c r="Z178" s="121">
        <v>10280</v>
      </c>
      <c r="AA178" s="123">
        <v>35.694444444444315</v>
      </c>
      <c r="AB178" s="121" t="s">
        <v>478</v>
      </c>
    </row>
    <row r="179" spans="1:28">
      <c r="A179" s="121">
        <f t="shared" si="2"/>
        <v>178</v>
      </c>
      <c r="B179" s="123">
        <f>YEAR(Table6[[#This Row],[Date]])+IF(MONTH(Table6[[#This Row],[Date]])&gt;=4,1,0)</f>
        <v>2026</v>
      </c>
      <c r="C179" s="121">
        <f>YEAR(Table6[[#This Row],[Date]])</f>
        <v>2025</v>
      </c>
      <c r="D179" s="121" t="s">
        <v>490</v>
      </c>
      <c r="E179" s="135">
        <f>Table6[[#This Row],[Date]]-DAY(Table6[[#This Row],[Date]])+1</f>
        <v>45748</v>
      </c>
      <c r="F179" s="134">
        <v>45750</v>
      </c>
      <c r="G179" s="121" t="s">
        <v>132</v>
      </c>
      <c r="H179" s="39" t="str">
        <f>_xlfn.XLOOKUP(Table6[[#This Row],[Affected WTG]],'Basic Data'!$A:$A,'Basic Data'!$B:$B)</f>
        <v>PWEGPL</v>
      </c>
      <c r="I179" s="39" t="str">
        <f>_xlfn.XLOOKUP(Table6[[#This Row],[Affected WTG]],'Basic Data'!$A:$A,'Basic Data'!$C:$C)</f>
        <v>MSEDCL</v>
      </c>
      <c r="J179" s="363">
        <f>IFERROR(VLOOKUP(Table6[[#This Row],[Affected WTG]],'Basic Data'!$A$3:$E$56,5,0),"")</f>
        <v>2.564102564102564E-2</v>
      </c>
      <c r="K179" s="121">
        <v>813</v>
      </c>
      <c r="L179" s="39" t="str">
        <f>IFERROR(VLOOKUP(Table6[[#This Row],[Error Code]],'Basic Data'!$T:$U,2,0),"")</f>
        <v>Low Pressure Of Emergency Accumulators</v>
      </c>
      <c r="M179" s="364" t="s">
        <v>462</v>
      </c>
      <c r="O179" s="365">
        <v>0.84097222222222223</v>
      </c>
      <c r="P179" s="365">
        <v>0.95277777777777772</v>
      </c>
      <c r="Q179" s="365">
        <v>0.95416666666666672</v>
      </c>
      <c r="R179" s="366">
        <f>IF(Table6[[#This Row],[Work Start TimeStamp]]="","",(Table6[[#This Row],[Work Start TimeStamp]]-Table6[[#This Row],[Fault Start TimeStamp]])*24)</f>
        <v>2.6833333333333318</v>
      </c>
      <c r="S179" s="367">
        <f>(Table6[[#This Row],[Fault Clearance time]]-Table6[[#This Row],[Work Start TimeStamp]])*24</f>
        <v>3.3333333333335879E-2</v>
      </c>
      <c r="T179" s="368">
        <f>(Table6[[#This Row],[Fault Clearance time]]-Table6[[#This Row],[Fault Start TimeStamp]])*24</f>
        <v>2.7166666666666677</v>
      </c>
      <c r="U179" s="364" t="s">
        <v>493</v>
      </c>
      <c r="V179" s="369" t="s">
        <v>463</v>
      </c>
      <c r="W179" s="354">
        <f>Table6[[#This Row],[Breakdown Time]]*(1/39)</f>
        <v>6.9658119658119688E-2</v>
      </c>
      <c r="X179" s="352" t="s">
        <v>465</v>
      </c>
      <c r="Y179" s="370" t="s">
        <v>133</v>
      </c>
      <c r="Z179" s="121">
        <v>10280</v>
      </c>
      <c r="AA179" s="123">
        <v>1163.6388888888894</v>
      </c>
      <c r="AB179" s="121" t="s">
        <v>478</v>
      </c>
    </row>
    <row r="180" spans="1:28">
      <c r="A180" s="121">
        <f t="shared" si="2"/>
        <v>179</v>
      </c>
      <c r="B180" s="123">
        <f>YEAR(Table6[[#This Row],[Date]])+IF(MONTH(Table6[[#This Row],[Date]])&gt;=4,1,0)</f>
        <v>2026</v>
      </c>
      <c r="C180" s="121">
        <f>YEAR(Table6[[#This Row],[Date]])</f>
        <v>2025</v>
      </c>
      <c r="D180" s="121" t="s">
        <v>490</v>
      </c>
      <c r="E180" s="135">
        <f>Table6[[#This Row],[Date]]-DAY(Table6[[#This Row],[Date]])+1</f>
        <v>45748</v>
      </c>
      <c r="F180" s="134">
        <v>45750</v>
      </c>
      <c r="G180" s="121" t="s">
        <v>138</v>
      </c>
      <c r="H180" s="39" t="str">
        <f>_xlfn.XLOOKUP(Table6[[#This Row],[Affected WTG]],'Basic Data'!$A:$A,'Basic Data'!$B:$B)</f>
        <v>PWEGPL</v>
      </c>
      <c r="I180" s="39" t="str">
        <f>_xlfn.XLOOKUP(Table6[[#This Row],[Affected WTG]],'Basic Data'!$A:$A,'Basic Data'!$C:$C)</f>
        <v>MSEDCL</v>
      </c>
      <c r="J180" s="363">
        <f>IFERROR(VLOOKUP(Table6[[#This Row],[Affected WTG]],'Basic Data'!$A$3:$E$56,5,0),"")</f>
        <v>2.564102564102564E-2</v>
      </c>
      <c r="K180" s="121">
        <v>205</v>
      </c>
      <c r="L180" s="39" t="str">
        <f>IFERROR(VLOOKUP(Table6[[#This Row],[Error Code]],'Basic Data'!$T:$U,2,0),"")</f>
        <v>Low Level Hydraulic Group Refrigeration Oil</v>
      </c>
      <c r="M180" s="364" t="s">
        <v>462</v>
      </c>
      <c r="O180" s="365">
        <v>0.50069444444444444</v>
      </c>
      <c r="P180" s="365">
        <v>0.59097222222222223</v>
      </c>
      <c r="Q180" s="365">
        <v>0.64236111111111116</v>
      </c>
      <c r="R180" s="366">
        <f>IF(Table6[[#This Row],[Work Start TimeStamp]]="","",(Table6[[#This Row],[Work Start TimeStamp]]-Table6[[#This Row],[Fault Start TimeStamp]])*24)</f>
        <v>2.166666666666667</v>
      </c>
      <c r="S180" s="367">
        <f>(Table6[[#This Row],[Fault Clearance time]]-Table6[[#This Row],[Work Start TimeStamp]])*24</f>
        <v>1.2333333333333343</v>
      </c>
      <c r="T180" s="368">
        <f>(Table6[[#This Row],[Fault Clearance time]]-Table6[[#This Row],[Fault Start TimeStamp]])*24</f>
        <v>3.4000000000000012</v>
      </c>
      <c r="U180" s="364" t="s">
        <v>509</v>
      </c>
      <c r="V180" s="369" t="s">
        <v>463</v>
      </c>
      <c r="W180" s="354">
        <f>Table6[[#This Row],[Breakdown Time]]*(1/39)</f>
        <v>8.7179487179487203E-2</v>
      </c>
      <c r="X180" s="352" t="s">
        <v>465</v>
      </c>
      <c r="Y180" s="370" t="s">
        <v>140</v>
      </c>
      <c r="Z180" s="121">
        <v>6588</v>
      </c>
      <c r="AA180" s="123">
        <v>933.3000000000003</v>
      </c>
      <c r="AB180" s="121" t="s">
        <v>478</v>
      </c>
    </row>
    <row r="181" spans="1:28">
      <c r="A181" s="121">
        <f t="shared" si="2"/>
        <v>180</v>
      </c>
      <c r="B181" s="123">
        <f>YEAR(Table6[[#This Row],[Date]])+IF(MONTH(Table6[[#This Row],[Date]])&gt;=4,1,0)</f>
        <v>2026</v>
      </c>
      <c r="C181" s="121">
        <f>YEAR(Table6[[#This Row],[Date]])</f>
        <v>2025</v>
      </c>
      <c r="D181" s="121" t="s">
        <v>490</v>
      </c>
      <c r="E181" s="135">
        <f>Table6[[#This Row],[Date]]-DAY(Table6[[#This Row],[Date]])+1</f>
        <v>45748</v>
      </c>
      <c r="F181" s="134">
        <v>45750</v>
      </c>
      <c r="G181" s="121" t="s">
        <v>145</v>
      </c>
      <c r="H181" s="39" t="str">
        <f>_xlfn.XLOOKUP(Table6[[#This Row],[Affected WTG]],'Basic Data'!$A:$A,'Basic Data'!$B:$B)</f>
        <v>PWEGPL</v>
      </c>
      <c r="I181" s="39" t="str">
        <f>_xlfn.XLOOKUP(Table6[[#This Row],[Affected WTG]],'Basic Data'!$A:$A,'Basic Data'!$C:$C)</f>
        <v>MSEDCL</v>
      </c>
      <c r="J181" s="363">
        <f>IFERROR(VLOOKUP(Table6[[#This Row],[Affected WTG]],'Basic Data'!$A$3:$E$56,5,0),"")</f>
        <v>2.564102564102564E-2</v>
      </c>
      <c r="K181" s="121">
        <v>700</v>
      </c>
      <c r="L181" s="39" t="str">
        <f>IFERROR(VLOOKUP(Table6[[#This Row],[Error Code]],'Basic Data'!$T:$U,2,0),"")</f>
        <v>PLC-Converter Communication Error</v>
      </c>
      <c r="M181" s="364" t="s">
        <v>462</v>
      </c>
      <c r="O181" s="365">
        <v>4.8611111111111112E-3</v>
      </c>
      <c r="P181" s="365">
        <v>6.5972222222222224E-2</v>
      </c>
      <c r="Q181" s="365">
        <v>7.2916666666666671E-2</v>
      </c>
      <c r="R181" s="366">
        <f>IF(Table6[[#This Row],[Work Start TimeStamp]]="","",(Table6[[#This Row],[Work Start TimeStamp]]-Table6[[#This Row],[Fault Start TimeStamp]])*24)</f>
        <v>1.4666666666666668</v>
      </c>
      <c r="S181" s="367">
        <f>(Table6[[#This Row],[Fault Clearance time]]-Table6[[#This Row],[Work Start TimeStamp]])*24</f>
        <v>0.16666666666666674</v>
      </c>
      <c r="T181" s="368">
        <f>(Table6[[#This Row],[Fault Clearance time]]-Table6[[#This Row],[Fault Start TimeStamp]])*24</f>
        <v>1.6333333333333335</v>
      </c>
      <c r="U181" s="364" t="s">
        <v>493</v>
      </c>
      <c r="V181" s="369" t="s">
        <v>463</v>
      </c>
      <c r="W181" s="354">
        <f>Table6[[#This Row],[Breakdown Time]]*(1/39)</f>
        <v>4.1880341880341884E-2</v>
      </c>
      <c r="X181" s="352" t="s">
        <v>465</v>
      </c>
      <c r="Y181" s="370" t="s">
        <v>139</v>
      </c>
      <c r="Z181" s="121">
        <v>7248</v>
      </c>
      <c r="AA181" s="123">
        <v>493.26666666666671</v>
      </c>
      <c r="AB181" s="121" t="s">
        <v>478</v>
      </c>
    </row>
    <row r="182" spans="1:28">
      <c r="A182" s="121">
        <f t="shared" si="2"/>
        <v>181</v>
      </c>
      <c r="B182" s="123">
        <f>YEAR(Table6[[#This Row],[Date]])+IF(MONTH(Table6[[#This Row],[Date]])&gt;=4,1,0)</f>
        <v>2026</v>
      </c>
      <c r="C182" s="121">
        <f>YEAR(Table6[[#This Row],[Date]])</f>
        <v>2025</v>
      </c>
      <c r="D182" s="121" t="s">
        <v>490</v>
      </c>
      <c r="E182" s="135">
        <f>Table6[[#This Row],[Date]]-DAY(Table6[[#This Row],[Date]])+1</f>
        <v>45748</v>
      </c>
      <c r="F182" s="134">
        <v>45750</v>
      </c>
      <c r="G182" s="121" t="s">
        <v>145</v>
      </c>
      <c r="H182" s="39" t="str">
        <f>_xlfn.XLOOKUP(Table6[[#This Row],[Affected WTG]],'Basic Data'!$A:$A,'Basic Data'!$B:$B)</f>
        <v>PWEGPL</v>
      </c>
      <c r="I182" s="39" t="str">
        <f>_xlfn.XLOOKUP(Table6[[#This Row],[Affected WTG]],'Basic Data'!$A:$A,'Basic Data'!$C:$C)</f>
        <v>MSEDCL</v>
      </c>
      <c r="J182" s="363">
        <f>IFERROR(VLOOKUP(Table6[[#This Row],[Affected WTG]],'Basic Data'!$A$3:$E$56,5,0),"")</f>
        <v>2.564102564102564E-2</v>
      </c>
      <c r="K182" s="121">
        <v>700</v>
      </c>
      <c r="L182" s="39" t="str">
        <f>IFERROR(VLOOKUP(Table6[[#This Row],[Error Code]],'Basic Data'!$T:$U,2,0),"")</f>
        <v>PLC-Converter Communication Error</v>
      </c>
      <c r="M182" s="364" t="s">
        <v>462</v>
      </c>
      <c r="O182" s="365">
        <v>0.25833333333333336</v>
      </c>
      <c r="P182" s="365">
        <v>0.30625000000000002</v>
      </c>
      <c r="Q182" s="365">
        <v>0.50416666666666665</v>
      </c>
      <c r="R182" s="366">
        <f>IF(Table6[[#This Row],[Work Start TimeStamp]]="","",(Table6[[#This Row],[Work Start TimeStamp]]-Table6[[#This Row],[Fault Start TimeStamp]])*24)</f>
        <v>1.1499999999999999</v>
      </c>
      <c r="S182" s="367">
        <f>(Table6[[#This Row],[Fault Clearance time]]-Table6[[#This Row],[Work Start TimeStamp]])*24</f>
        <v>4.7499999999999991</v>
      </c>
      <c r="T182" s="368">
        <f>(Table6[[#This Row],[Fault Clearance time]]-Table6[[#This Row],[Fault Start TimeStamp]])*24</f>
        <v>5.8999999999999986</v>
      </c>
      <c r="U182" s="364" t="s">
        <v>529</v>
      </c>
      <c r="V182" s="369" t="s">
        <v>463</v>
      </c>
      <c r="W182" s="354">
        <f>Table6[[#This Row],[Breakdown Time]]*(1/39)</f>
        <v>0.15128205128205124</v>
      </c>
      <c r="X182" s="352" t="s">
        <v>465</v>
      </c>
      <c r="Y182" s="370" t="s">
        <v>139</v>
      </c>
      <c r="Z182" s="121">
        <v>7248</v>
      </c>
      <c r="AA182" s="123">
        <v>1781.7999999999995</v>
      </c>
      <c r="AB182" s="121" t="s">
        <v>478</v>
      </c>
    </row>
    <row r="183" spans="1:28">
      <c r="A183" s="121">
        <f t="shared" si="2"/>
        <v>182</v>
      </c>
      <c r="B183" s="123">
        <f>YEAR(Table6[[#This Row],[Date]])+IF(MONTH(Table6[[#This Row],[Date]])&gt;=4,1,0)</f>
        <v>2026</v>
      </c>
      <c r="C183" s="121">
        <f>YEAR(Table6[[#This Row],[Date]])</f>
        <v>2025</v>
      </c>
      <c r="D183" s="121" t="s">
        <v>490</v>
      </c>
      <c r="E183" s="135">
        <f>Table6[[#This Row],[Date]]-DAY(Table6[[#This Row],[Date]])+1</f>
        <v>45748</v>
      </c>
      <c r="F183" s="134">
        <v>45750</v>
      </c>
      <c r="G183" s="121" t="s">
        <v>146</v>
      </c>
      <c r="H183" s="39" t="str">
        <f>_xlfn.XLOOKUP(Table6[[#This Row],[Affected WTG]],'Basic Data'!$A:$A,'Basic Data'!$B:$B)</f>
        <v>PWEGPL</v>
      </c>
      <c r="I183" s="39" t="str">
        <f>_xlfn.XLOOKUP(Table6[[#This Row],[Affected WTG]],'Basic Data'!$A:$A,'Basic Data'!$C:$C)</f>
        <v>MSEDCL</v>
      </c>
      <c r="J183" s="363">
        <f>IFERROR(VLOOKUP(Table6[[#This Row],[Affected WTG]],'Basic Data'!$A$3:$E$56,5,0),"")</f>
        <v>2.564102564102564E-2</v>
      </c>
      <c r="K183" s="121">
        <v>813</v>
      </c>
      <c r="L183" s="39" t="str">
        <f>IFERROR(VLOOKUP(Table6[[#This Row],[Error Code]],'Basic Data'!$T:$U,2,0),"")</f>
        <v>Low Pressure Of Emergency Accumulators</v>
      </c>
      <c r="M183" s="364" t="s">
        <v>462</v>
      </c>
      <c r="O183" s="365">
        <v>0.49930555555555556</v>
      </c>
      <c r="P183" s="365">
        <v>0.5444444444444444</v>
      </c>
      <c r="Q183" s="365">
        <v>0.5493055555555556</v>
      </c>
      <c r="R183" s="366">
        <f>IF(Table6[[#This Row],[Work Start TimeStamp]]="","",(Table6[[#This Row],[Work Start TimeStamp]]-Table6[[#This Row],[Fault Start TimeStamp]])*24)</f>
        <v>1.0833333333333321</v>
      </c>
      <c r="S183" s="367">
        <f>(Table6[[#This Row],[Fault Clearance time]]-Table6[[#This Row],[Work Start TimeStamp]])*24</f>
        <v>0.11666666666666892</v>
      </c>
      <c r="T183" s="368">
        <f>(Table6[[#This Row],[Fault Clearance time]]-Table6[[#This Row],[Fault Start TimeStamp]])*24</f>
        <v>1.2000000000000011</v>
      </c>
      <c r="U183" s="364" t="s">
        <v>491</v>
      </c>
      <c r="V183" s="369" t="s">
        <v>463</v>
      </c>
      <c r="W183" s="354">
        <f>Table6[[#This Row],[Breakdown Time]]*(1/39)</f>
        <v>3.0769230769230795E-2</v>
      </c>
      <c r="X183" s="352" t="s">
        <v>465</v>
      </c>
      <c r="Y183" s="370" t="s">
        <v>147</v>
      </c>
      <c r="Z183" s="121">
        <v>3472</v>
      </c>
      <c r="AA183" s="123">
        <v>173.60000000000014</v>
      </c>
      <c r="AB183" s="121" t="s">
        <v>478</v>
      </c>
    </row>
    <row r="184" spans="1:28">
      <c r="A184" s="121">
        <f t="shared" si="2"/>
        <v>183</v>
      </c>
      <c r="B184" s="123">
        <f>YEAR(Table6[[#This Row],[Date]])+IF(MONTH(Table6[[#This Row],[Date]])&gt;=4,1,0)</f>
        <v>2026</v>
      </c>
      <c r="C184" s="121">
        <f>YEAR(Table6[[#This Row],[Date]])</f>
        <v>2025</v>
      </c>
      <c r="D184" s="121" t="s">
        <v>490</v>
      </c>
      <c r="E184" s="135">
        <f>Table6[[#This Row],[Date]]-DAY(Table6[[#This Row],[Date]])+1</f>
        <v>45748</v>
      </c>
      <c r="F184" s="134">
        <v>45750</v>
      </c>
      <c r="G184" s="121" t="s">
        <v>146</v>
      </c>
      <c r="H184" s="39" t="str">
        <f>_xlfn.XLOOKUP(Table6[[#This Row],[Affected WTG]],'Basic Data'!$A:$A,'Basic Data'!$B:$B)</f>
        <v>PWEGPL</v>
      </c>
      <c r="I184" s="39" t="str">
        <f>_xlfn.XLOOKUP(Table6[[#This Row],[Affected WTG]],'Basic Data'!$A:$A,'Basic Data'!$C:$C)</f>
        <v>MSEDCL</v>
      </c>
      <c r="J184" s="363">
        <f>IFERROR(VLOOKUP(Table6[[#This Row],[Affected WTG]],'Basic Data'!$A$3:$E$56,5,0),"")</f>
        <v>2.564102564102564E-2</v>
      </c>
      <c r="K184" s="121">
        <v>813</v>
      </c>
      <c r="L184" s="39" t="str">
        <f>IFERROR(VLOOKUP(Table6[[#This Row],[Error Code]],'Basic Data'!$T:$U,2,0),"")</f>
        <v>Low Pressure Of Emergency Accumulators</v>
      </c>
      <c r="M184" s="364" t="s">
        <v>462</v>
      </c>
      <c r="O184" s="365">
        <v>0.55069444444444449</v>
      </c>
      <c r="P184" s="365">
        <v>0.5756944444444444</v>
      </c>
      <c r="Q184" s="365">
        <v>0.63680555555555551</v>
      </c>
      <c r="R184" s="366">
        <f>IF(Table6[[#This Row],[Work Start TimeStamp]]="","",(Table6[[#This Row],[Work Start TimeStamp]]-Table6[[#This Row],[Fault Start TimeStamp]])*24)</f>
        <v>0.59999999999999787</v>
      </c>
      <c r="S184" s="367">
        <f>(Table6[[#This Row],[Fault Clearance time]]-Table6[[#This Row],[Work Start TimeStamp]])*24</f>
        <v>1.4666666666666668</v>
      </c>
      <c r="T184" s="368">
        <f>(Table6[[#This Row],[Fault Clearance time]]-Table6[[#This Row],[Fault Start TimeStamp]])*24</f>
        <v>2.0666666666666647</v>
      </c>
      <c r="U184" s="364" t="s">
        <v>530</v>
      </c>
      <c r="V184" s="369" t="s">
        <v>463</v>
      </c>
      <c r="W184" s="354">
        <f>Table6[[#This Row],[Breakdown Time]]*(1/39)</f>
        <v>5.2991452991452935E-2</v>
      </c>
      <c r="X184" s="352" t="s">
        <v>465</v>
      </c>
      <c r="Y184" s="370" t="s">
        <v>147</v>
      </c>
      <c r="Z184" s="121">
        <v>6772</v>
      </c>
      <c r="AA184" s="123">
        <v>583.14444444444393</v>
      </c>
      <c r="AB184" s="121" t="s">
        <v>478</v>
      </c>
    </row>
    <row r="185" spans="1:28">
      <c r="A185" s="121">
        <f t="shared" si="2"/>
        <v>184</v>
      </c>
      <c r="B185" s="123">
        <f>YEAR(Table6[[#This Row],[Date]])+IF(MONTH(Table6[[#This Row],[Date]])&gt;=4,1,0)</f>
        <v>2026</v>
      </c>
      <c r="C185" s="121">
        <f>YEAR(Table6[[#This Row],[Date]])</f>
        <v>2025</v>
      </c>
      <c r="D185" s="121" t="s">
        <v>490</v>
      </c>
      <c r="E185" s="135">
        <f>Table6[[#This Row],[Date]]-DAY(Table6[[#This Row],[Date]])+1</f>
        <v>45748</v>
      </c>
      <c r="F185" s="134">
        <v>45750</v>
      </c>
      <c r="G185" s="121" t="s">
        <v>147</v>
      </c>
      <c r="H185" s="39" t="str">
        <f>_xlfn.XLOOKUP(Table6[[#This Row],[Affected WTG]],'Basic Data'!$A:$A,'Basic Data'!$B:$B)</f>
        <v>PWEGPL</v>
      </c>
      <c r="I185" s="39" t="str">
        <f>_xlfn.XLOOKUP(Table6[[#This Row],[Affected WTG]],'Basic Data'!$A:$A,'Basic Data'!$C:$C)</f>
        <v>MSEDCL</v>
      </c>
      <c r="J185" s="363">
        <f>IFERROR(VLOOKUP(Table6[[#This Row],[Affected WTG]],'Basic Data'!$A$3:$E$56,5,0),"")</f>
        <v>2.564102564102564E-2</v>
      </c>
      <c r="K185" s="121">
        <v>5201</v>
      </c>
      <c r="L185" s="39" t="str">
        <f>IFERROR(VLOOKUP(Table6[[#This Row],[Error Code]],'Basic Data'!$T:$U,2,0),"")</f>
        <v>Magnetothermic Trigger Of The Stator Protection</v>
      </c>
      <c r="M185" s="364" t="s">
        <v>462</v>
      </c>
      <c r="O185" s="365">
        <v>0.85486111111111107</v>
      </c>
      <c r="P185" s="365">
        <v>0.99930555555555556</v>
      </c>
      <c r="Q185" s="365">
        <v>0.99930555555555556</v>
      </c>
      <c r="R185" s="366">
        <f>IF(Table6[[#This Row],[Work Start TimeStamp]]="","",(Table6[[#This Row],[Work Start TimeStamp]]-Table6[[#This Row],[Fault Start TimeStamp]])*24)</f>
        <v>3.4666666666666677</v>
      </c>
      <c r="S185" s="367">
        <f>(Table6[[#This Row],[Fault Clearance time]]-Table6[[#This Row],[Work Start TimeStamp]])*24</f>
        <v>0</v>
      </c>
      <c r="T185" s="368">
        <f>(Table6[[#This Row],[Fault Clearance time]]-Table6[[#This Row],[Fault Start TimeStamp]])*24</f>
        <v>3.4666666666666677</v>
      </c>
      <c r="U185" s="364" t="s">
        <v>500</v>
      </c>
      <c r="V185" s="369" t="s">
        <v>463</v>
      </c>
      <c r="W185" s="354">
        <f>Table6[[#This Row],[Breakdown Time]]*(1/39)</f>
        <v>8.8888888888888906E-2</v>
      </c>
      <c r="X185" s="352" t="s">
        <v>465</v>
      </c>
      <c r="Y185" s="370" t="s">
        <v>146</v>
      </c>
      <c r="Z185" s="121">
        <v>5908</v>
      </c>
      <c r="AA185" s="123">
        <v>853.37777777777796</v>
      </c>
      <c r="AB185" s="121" t="s">
        <v>478</v>
      </c>
    </row>
    <row r="186" spans="1:28">
      <c r="A186" s="121">
        <f t="shared" si="2"/>
        <v>185</v>
      </c>
      <c r="B186" s="123">
        <f>YEAR(Table6[[#This Row],[Date]])+IF(MONTH(Table6[[#This Row],[Date]])&gt;=4,1,0)</f>
        <v>2026</v>
      </c>
      <c r="C186" s="121">
        <f>YEAR(Table6[[#This Row],[Date]])</f>
        <v>2025</v>
      </c>
      <c r="D186" s="121" t="s">
        <v>490</v>
      </c>
      <c r="E186" s="135">
        <f>Table6[[#This Row],[Date]]-DAY(Table6[[#This Row],[Date]])+1</f>
        <v>45748</v>
      </c>
      <c r="F186" s="134">
        <v>45750</v>
      </c>
      <c r="G186" s="121" t="s">
        <v>149</v>
      </c>
      <c r="H186" s="39" t="str">
        <f>_xlfn.XLOOKUP(Table6[[#This Row],[Affected WTG]],'Basic Data'!$A:$A,'Basic Data'!$B:$B)</f>
        <v>PWEGPL</v>
      </c>
      <c r="I186" s="39" t="str">
        <f>_xlfn.XLOOKUP(Table6[[#This Row],[Affected WTG]],'Basic Data'!$A:$A,'Basic Data'!$C:$C)</f>
        <v>MSEDCL</v>
      </c>
      <c r="J186" s="363">
        <f>IFERROR(VLOOKUP(Table6[[#This Row],[Affected WTG]],'Basic Data'!$A$3:$E$56,5,0),"")</f>
        <v>2.564102564102564E-2</v>
      </c>
      <c r="K186" s="121" t="s">
        <v>492</v>
      </c>
      <c r="L186" s="39" t="str">
        <f>IFERROR(VLOOKUP(Table6[[#This Row],[Error Code]],'Basic Data'!$T:$U,2,0),"")</f>
        <v>Manual Stop - Safety Related</v>
      </c>
      <c r="M186" s="364" t="s">
        <v>462</v>
      </c>
      <c r="O186" s="365">
        <v>0.65208333333333335</v>
      </c>
      <c r="P186" s="365">
        <v>0.65208333333333335</v>
      </c>
      <c r="Q186" s="365">
        <v>0.71319444444444446</v>
      </c>
      <c r="R186" s="366">
        <f>IF(Table6[[#This Row],[Work Start TimeStamp]]="","",(Table6[[#This Row],[Work Start TimeStamp]]-Table6[[#This Row],[Fault Start TimeStamp]])*24)</f>
        <v>0</v>
      </c>
      <c r="S186" s="367">
        <f>(Table6[[#This Row],[Fault Clearance time]]-Table6[[#This Row],[Work Start TimeStamp]])*24</f>
        <v>1.4666666666666668</v>
      </c>
      <c r="T186" s="368">
        <f>(Table6[[#This Row],[Fault Clearance time]]-Table6[[#This Row],[Fault Start TimeStamp]])*24</f>
        <v>1.4666666666666668</v>
      </c>
      <c r="U186" s="364" t="s">
        <v>501</v>
      </c>
      <c r="V186" s="369" t="s">
        <v>463</v>
      </c>
      <c r="W186" s="354">
        <f>Table6[[#This Row],[Breakdown Time]]*(1/39)</f>
        <v>3.7606837606837612E-2</v>
      </c>
      <c r="X186" s="352" t="s">
        <v>465</v>
      </c>
      <c r="Y186" s="370" t="s">
        <v>150</v>
      </c>
      <c r="Z186" s="121">
        <v>6498</v>
      </c>
      <c r="AA186" s="123">
        <v>397.1</v>
      </c>
      <c r="AB186" s="121" t="s">
        <v>478</v>
      </c>
    </row>
    <row r="187" spans="1:28">
      <c r="A187" s="121">
        <f t="shared" si="2"/>
        <v>186</v>
      </c>
      <c r="B187" s="123">
        <f>YEAR(Table6[[#This Row],[Date]])+IF(MONTH(Table6[[#This Row],[Date]])&gt;=4,1,0)</f>
        <v>2026</v>
      </c>
      <c r="C187" s="121">
        <f>YEAR(Table6[[#This Row],[Date]])</f>
        <v>2025</v>
      </c>
      <c r="D187" s="121" t="s">
        <v>490</v>
      </c>
      <c r="E187" s="135">
        <f>Table6[[#This Row],[Date]]-DAY(Table6[[#This Row],[Date]])+1</f>
        <v>45748</v>
      </c>
      <c r="F187" s="134">
        <v>45750</v>
      </c>
      <c r="G187" s="121" t="s">
        <v>151</v>
      </c>
      <c r="H187" s="39" t="str">
        <f>_xlfn.XLOOKUP(Table6[[#This Row],[Affected WTG]],'Basic Data'!$A:$A,'Basic Data'!$B:$B)</f>
        <v>PWEGPL</v>
      </c>
      <c r="I187" s="39" t="str">
        <f>_xlfn.XLOOKUP(Table6[[#This Row],[Affected WTG]],'Basic Data'!$A:$A,'Basic Data'!$C:$C)</f>
        <v>MSEDCL</v>
      </c>
      <c r="J187" s="363">
        <f>IFERROR(VLOOKUP(Table6[[#This Row],[Affected WTG]],'Basic Data'!$A$3:$E$56,5,0),"")</f>
        <v>2.564102564102564E-2</v>
      </c>
      <c r="K187" s="121">
        <v>5203</v>
      </c>
      <c r="L187" s="39" t="str">
        <f>IFERROR(VLOOKUP(Table6[[#This Row],[Error Code]],'Basic Data'!$T:$U,2,0),"")</f>
        <v>Heating/Coolant Thermal Magnetic Failure</v>
      </c>
      <c r="M187" s="364" t="s">
        <v>462</v>
      </c>
      <c r="O187" s="365">
        <v>6.6666666666666666E-2</v>
      </c>
      <c r="P187" s="365">
        <v>0.46458333333333335</v>
      </c>
      <c r="Q187" s="365">
        <v>0.51597222222222228</v>
      </c>
      <c r="R187" s="366">
        <f>IF(Table6[[#This Row],[Work Start TimeStamp]]="","",(Table6[[#This Row],[Work Start TimeStamp]]-Table6[[#This Row],[Fault Start TimeStamp]])*24)</f>
        <v>9.5500000000000007</v>
      </c>
      <c r="S187" s="367">
        <f>(Table6[[#This Row],[Fault Clearance time]]-Table6[[#This Row],[Work Start TimeStamp]])*24</f>
        <v>1.2333333333333343</v>
      </c>
      <c r="T187" s="368">
        <f>(Table6[[#This Row],[Fault Clearance time]]-Table6[[#This Row],[Fault Start TimeStamp]])*24</f>
        <v>10.783333333333335</v>
      </c>
      <c r="U187" s="364" t="s">
        <v>531</v>
      </c>
      <c r="V187" s="369" t="s">
        <v>463</v>
      </c>
      <c r="W187" s="354">
        <f>Table6[[#This Row],[Breakdown Time]]*(1/39)</f>
        <v>0.27649572649572651</v>
      </c>
      <c r="X187" s="352" t="s">
        <v>465</v>
      </c>
      <c r="Y187" s="370" t="s">
        <v>152</v>
      </c>
      <c r="Z187" s="121">
        <v>4518</v>
      </c>
      <c r="AA187" s="123">
        <v>2029.9625000000003</v>
      </c>
      <c r="AB187" s="121" t="s">
        <v>478</v>
      </c>
    </row>
    <row r="188" spans="1:28">
      <c r="A188" s="121">
        <f t="shared" si="2"/>
        <v>187</v>
      </c>
      <c r="B188" s="123">
        <f>YEAR(Table6[[#This Row],[Date]])+IF(MONTH(Table6[[#This Row],[Date]])&gt;=4,1,0)</f>
        <v>2026</v>
      </c>
      <c r="C188" s="121">
        <f>YEAR(Table6[[#This Row],[Date]])</f>
        <v>2025</v>
      </c>
      <c r="D188" s="121" t="s">
        <v>490</v>
      </c>
      <c r="E188" s="135">
        <f>Table6[[#This Row],[Date]]-DAY(Table6[[#This Row],[Date]])+1</f>
        <v>45748</v>
      </c>
      <c r="F188" s="134">
        <v>45750</v>
      </c>
      <c r="G188" s="121" t="s">
        <v>152</v>
      </c>
      <c r="H188" s="39" t="str">
        <f>_xlfn.XLOOKUP(Table6[[#This Row],[Affected WTG]],'Basic Data'!$A:$A,'Basic Data'!$B:$B)</f>
        <v>PWEGPL</v>
      </c>
      <c r="I188" s="39" t="str">
        <f>_xlfn.XLOOKUP(Table6[[#This Row],[Affected WTG]],'Basic Data'!$A:$A,'Basic Data'!$C:$C)</f>
        <v>MSEDCL</v>
      </c>
      <c r="J188" s="363">
        <f>IFERROR(VLOOKUP(Table6[[#This Row],[Affected WTG]],'Basic Data'!$A$3:$E$56,5,0),"")</f>
        <v>2.564102564102564E-2</v>
      </c>
      <c r="K188" s="121">
        <v>804</v>
      </c>
      <c r="L188" s="39" t="str">
        <f>IFERROR(VLOOKUP(Table6[[#This Row],[Error Code]],'Basic Data'!$T:$U,2,0),"")</f>
        <v>Difference Between 2 Blades Too High</v>
      </c>
      <c r="M188" s="364" t="s">
        <v>462</v>
      </c>
      <c r="O188" s="365">
        <v>0.85486111111111107</v>
      </c>
      <c r="P188" s="365">
        <v>0.85486111111111107</v>
      </c>
      <c r="Q188" s="365">
        <v>0.8666666666666667</v>
      </c>
      <c r="R188" s="366">
        <f>IF(Table6[[#This Row],[Work Start TimeStamp]]="","",(Table6[[#This Row],[Work Start TimeStamp]]-Table6[[#This Row],[Fault Start TimeStamp]])*24)</f>
        <v>0</v>
      </c>
      <c r="S188" s="367">
        <f>(Table6[[#This Row],[Fault Clearance time]]-Table6[[#This Row],[Work Start TimeStamp]])*24</f>
        <v>0.28333333333333499</v>
      </c>
      <c r="T188" s="368">
        <f>(Table6[[#This Row],[Fault Clearance time]]-Table6[[#This Row],[Fault Start TimeStamp]])*24</f>
        <v>0.28333333333333499</v>
      </c>
      <c r="U188" s="364" t="s">
        <v>480</v>
      </c>
      <c r="V188" s="369" t="s">
        <v>463</v>
      </c>
      <c r="W188" s="354">
        <f>Table6[[#This Row],[Breakdown Time]]*(1/39)</f>
        <v>7.2649572649573068E-3</v>
      </c>
      <c r="X188" s="352" t="s">
        <v>465</v>
      </c>
      <c r="Y188" s="370" t="s">
        <v>151</v>
      </c>
      <c r="Z188" s="121">
        <v>6232</v>
      </c>
      <c r="AA188" s="123">
        <v>73.572222222222663</v>
      </c>
      <c r="AB188" s="121" t="s">
        <v>478</v>
      </c>
    </row>
    <row r="189" spans="1:28">
      <c r="A189" s="121">
        <f t="shared" si="2"/>
        <v>188</v>
      </c>
      <c r="B189" s="123">
        <f>YEAR(Table6[[#This Row],[Date]])+IF(MONTH(Table6[[#This Row],[Date]])&gt;=4,1,0)</f>
        <v>2026</v>
      </c>
      <c r="C189" s="121">
        <f>YEAR(Table6[[#This Row],[Date]])</f>
        <v>2025</v>
      </c>
      <c r="D189" s="121" t="s">
        <v>490</v>
      </c>
      <c r="E189" s="135">
        <f>Table6[[#This Row],[Date]]-DAY(Table6[[#This Row],[Date]])+1</f>
        <v>45748</v>
      </c>
      <c r="F189" s="134">
        <v>45750</v>
      </c>
      <c r="G189" s="121" t="s">
        <v>153</v>
      </c>
      <c r="H189" s="39" t="str">
        <f>_xlfn.XLOOKUP(Table6[[#This Row],[Affected WTG]],'Basic Data'!$A:$A,'Basic Data'!$B:$B)</f>
        <v>PWEGPL</v>
      </c>
      <c r="I189" s="39" t="str">
        <f>_xlfn.XLOOKUP(Table6[[#This Row],[Affected WTG]],'Basic Data'!$A:$A,'Basic Data'!$C:$C)</f>
        <v>MSEDCL</v>
      </c>
      <c r="J189" s="363">
        <f>IFERROR(VLOOKUP(Table6[[#This Row],[Affected WTG]],'Basic Data'!$A$3:$E$56,5,0),"")</f>
        <v>2.564102564102564E-2</v>
      </c>
      <c r="K189" s="121">
        <v>804</v>
      </c>
      <c r="L189" s="39" t="str">
        <f>IFERROR(VLOOKUP(Table6[[#This Row],[Error Code]],'Basic Data'!$T:$U,2,0),"")</f>
        <v>Difference Between 2 Blades Too High</v>
      </c>
      <c r="M189" s="364" t="s">
        <v>462</v>
      </c>
      <c r="O189" s="365">
        <v>0.60555555555555551</v>
      </c>
      <c r="P189" s="365">
        <v>0.60555555555555551</v>
      </c>
      <c r="Q189" s="365">
        <v>0.60902777777777772</v>
      </c>
      <c r="R189" s="366">
        <f>IF(Table6[[#This Row],[Work Start TimeStamp]]="","",(Table6[[#This Row],[Work Start TimeStamp]]-Table6[[#This Row],[Fault Start TimeStamp]])*24)</f>
        <v>0</v>
      </c>
      <c r="S189" s="367">
        <f>(Table6[[#This Row],[Fault Clearance time]]-Table6[[#This Row],[Work Start TimeStamp]])*24</f>
        <v>8.3333333333333037E-2</v>
      </c>
      <c r="T189" s="368">
        <f>(Table6[[#This Row],[Fault Clearance time]]-Table6[[#This Row],[Fault Start TimeStamp]])*24</f>
        <v>8.3333333333333037E-2</v>
      </c>
      <c r="U189" s="364" t="s">
        <v>480</v>
      </c>
      <c r="V189" s="369" t="s">
        <v>463</v>
      </c>
      <c r="W189" s="354">
        <f>Table6[[#This Row],[Breakdown Time]]*(1/39)</f>
        <v>2.1367521367521292E-3</v>
      </c>
      <c r="X189" s="352" t="s">
        <v>465</v>
      </c>
      <c r="Y189" s="370" t="s">
        <v>153</v>
      </c>
      <c r="Z189" s="121">
        <v>6148</v>
      </c>
      <c r="AA189" s="123">
        <v>21.347222222222147</v>
      </c>
      <c r="AB189" s="121" t="s">
        <v>478</v>
      </c>
    </row>
    <row r="190" spans="1:28">
      <c r="A190" s="121">
        <f t="shared" si="2"/>
        <v>189</v>
      </c>
      <c r="B190" s="123">
        <f>YEAR(Table6[[#This Row],[Date]])+IF(MONTH(Table6[[#This Row],[Date]])&gt;=4,1,0)</f>
        <v>2026</v>
      </c>
      <c r="C190" s="121">
        <f>YEAR(Table6[[#This Row],[Date]])</f>
        <v>2025</v>
      </c>
      <c r="D190" s="121" t="s">
        <v>490</v>
      </c>
      <c r="E190" s="135">
        <f>Table6[[#This Row],[Date]]-DAY(Table6[[#This Row],[Date]])+1</f>
        <v>45748</v>
      </c>
      <c r="F190" s="134">
        <v>45750</v>
      </c>
      <c r="G190" s="121" t="s">
        <v>153</v>
      </c>
      <c r="H190" s="39" t="str">
        <f>_xlfn.XLOOKUP(Table6[[#This Row],[Affected WTG]],'Basic Data'!$A:$A,'Basic Data'!$B:$B)</f>
        <v>PWEGPL</v>
      </c>
      <c r="I190" s="39" t="str">
        <f>_xlfn.XLOOKUP(Table6[[#This Row],[Affected WTG]],'Basic Data'!$A:$A,'Basic Data'!$C:$C)</f>
        <v>MSEDCL</v>
      </c>
      <c r="J190" s="363">
        <f>IFERROR(VLOOKUP(Table6[[#This Row],[Affected WTG]],'Basic Data'!$A$3:$E$56,5,0),"")</f>
        <v>2.564102564102564E-2</v>
      </c>
      <c r="K190" s="121">
        <v>2118</v>
      </c>
      <c r="L190" s="39" t="str">
        <f>IFERROR(VLOOKUP(Table6[[#This Row],[Error Code]],'Basic Data'!$T:$U,2,0),"")</f>
        <v>Bus Error - Interbus Failure</v>
      </c>
      <c r="M190" s="364" t="s">
        <v>462</v>
      </c>
      <c r="O190" s="365">
        <v>0.83819444444444446</v>
      </c>
      <c r="P190" s="365">
        <v>0.83819444444444446</v>
      </c>
      <c r="Q190" s="365">
        <v>0.86250000000000004</v>
      </c>
      <c r="R190" s="366">
        <f>IF(Table6[[#This Row],[Work Start TimeStamp]]="","",(Table6[[#This Row],[Work Start TimeStamp]]-Table6[[#This Row],[Fault Start TimeStamp]])*24)</f>
        <v>0</v>
      </c>
      <c r="S190" s="367">
        <f>(Table6[[#This Row],[Fault Clearance time]]-Table6[[#This Row],[Work Start TimeStamp]])*24</f>
        <v>0.58333333333333393</v>
      </c>
      <c r="T190" s="368">
        <f>(Table6[[#This Row],[Fault Clearance time]]-Table6[[#This Row],[Fault Start TimeStamp]])*24</f>
        <v>0.58333333333333393</v>
      </c>
      <c r="U190" s="364" t="s">
        <v>480</v>
      </c>
      <c r="V190" s="369" t="s">
        <v>463</v>
      </c>
      <c r="W190" s="354">
        <f>Table6[[#This Row],[Breakdown Time]]*(1/39)</f>
        <v>1.4957264957264972E-2</v>
      </c>
      <c r="X190" s="352" t="s">
        <v>465</v>
      </c>
      <c r="Y190" s="370" t="s">
        <v>153</v>
      </c>
      <c r="Z190" s="121">
        <v>6148</v>
      </c>
      <c r="AA190" s="123">
        <v>149.43055555555571</v>
      </c>
      <c r="AB190" s="121" t="s">
        <v>478</v>
      </c>
    </row>
    <row r="191" spans="1:28">
      <c r="A191" s="121">
        <f t="shared" si="2"/>
        <v>190</v>
      </c>
      <c r="B191" s="123">
        <f>YEAR(Table6[[#This Row],[Date]])+IF(MONTH(Table6[[#This Row],[Date]])&gt;=4,1,0)</f>
        <v>2026</v>
      </c>
      <c r="C191" s="121">
        <f>YEAR(Table6[[#This Row],[Date]])</f>
        <v>2025</v>
      </c>
      <c r="D191" s="121" t="s">
        <v>490</v>
      </c>
      <c r="E191" s="135">
        <f>Table6[[#This Row],[Date]]-DAY(Table6[[#This Row],[Date]])+1</f>
        <v>45748</v>
      </c>
      <c r="F191" s="134">
        <v>45750</v>
      </c>
      <c r="G191" s="121" t="s">
        <v>153</v>
      </c>
      <c r="H191" s="39" t="str">
        <f>_xlfn.XLOOKUP(Table6[[#This Row],[Affected WTG]],'Basic Data'!$A:$A,'Basic Data'!$B:$B)</f>
        <v>PWEGPL</v>
      </c>
      <c r="I191" s="39" t="str">
        <f>_xlfn.XLOOKUP(Table6[[#This Row],[Affected WTG]],'Basic Data'!$A:$A,'Basic Data'!$C:$C)</f>
        <v>MSEDCL</v>
      </c>
      <c r="J191" s="363">
        <f>IFERROR(VLOOKUP(Table6[[#This Row],[Affected WTG]],'Basic Data'!$A$3:$E$56,5,0),"")</f>
        <v>2.564102564102564E-2</v>
      </c>
      <c r="K191" s="121">
        <v>813</v>
      </c>
      <c r="L191" s="39" t="str">
        <f>IFERROR(VLOOKUP(Table6[[#This Row],[Error Code]],'Basic Data'!$T:$U,2,0),"")</f>
        <v>Low Pressure Of Emergency Accumulators</v>
      </c>
      <c r="M191" s="364" t="s">
        <v>462</v>
      </c>
      <c r="O191" s="365">
        <v>0.91180555555555554</v>
      </c>
      <c r="P191" s="365">
        <v>0.91180555555555554</v>
      </c>
      <c r="Q191" s="365">
        <v>0.91527777777777775</v>
      </c>
      <c r="R191" s="366">
        <f>IF(Table6[[#This Row],[Work Start TimeStamp]]="","",(Table6[[#This Row],[Work Start TimeStamp]]-Table6[[#This Row],[Fault Start TimeStamp]])*24)</f>
        <v>0</v>
      </c>
      <c r="S191" s="367">
        <f>(Table6[[#This Row],[Fault Clearance time]]-Table6[[#This Row],[Work Start TimeStamp]])*24</f>
        <v>8.3333333333333037E-2</v>
      </c>
      <c r="T191" s="368">
        <f>(Table6[[#This Row],[Fault Clearance time]]-Table6[[#This Row],[Fault Start TimeStamp]])*24</f>
        <v>8.3333333333333037E-2</v>
      </c>
      <c r="U191" s="364" t="s">
        <v>480</v>
      </c>
      <c r="V191" s="369" t="s">
        <v>463</v>
      </c>
      <c r="W191" s="354">
        <f>Table6[[#This Row],[Breakdown Time]]*(1/39)</f>
        <v>2.1367521367521292E-3</v>
      </c>
      <c r="X191" s="352" t="s">
        <v>465</v>
      </c>
      <c r="Y191" s="370" t="s">
        <v>153</v>
      </c>
      <c r="Z191" s="121">
        <v>6148</v>
      </c>
      <c r="AA191" s="123">
        <v>21.347222222222147</v>
      </c>
      <c r="AB191" s="121" t="s">
        <v>478</v>
      </c>
    </row>
    <row r="192" spans="1:28">
      <c r="A192" s="121">
        <f t="shared" si="2"/>
        <v>191</v>
      </c>
      <c r="B192" s="123">
        <f>YEAR(Table6[[#This Row],[Date]])+IF(MONTH(Table6[[#This Row],[Date]])&gt;=4,1,0)</f>
        <v>2026</v>
      </c>
      <c r="C192" s="121">
        <f>YEAR(Table6[[#This Row],[Date]])</f>
        <v>2025</v>
      </c>
      <c r="D192" s="121" t="s">
        <v>490</v>
      </c>
      <c r="E192" s="135">
        <f>Table6[[#This Row],[Date]]-DAY(Table6[[#This Row],[Date]])+1</f>
        <v>45748</v>
      </c>
      <c r="F192" s="134">
        <v>45751</v>
      </c>
      <c r="G192" s="121" t="s">
        <v>144</v>
      </c>
      <c r="H192" s="39" t="str">
        <f>_xlfn.XLOOKUP(Table6[[#This Row],[Affected WTG]],'Basic Data'!$A:$A,'Basic Data'!$B:$B)</f>
        <v>PWEGPL</v>
      </c>
      <c r="I192" s="39" t="str">
        <f>_xlfn.XLOOKUP(Table6[[#This Row],[Affected WTG]],'Basic Data'!$A:$A,'Basic Data'!$C:$C)</f>
        <v>MSEDCL</v>
      </c>
      <c r="J192" s="363">
        <f>IFERROR(VLOOKUP(Table6[[#This Row],[Affected WTG]],'Basic Data'!$A$3:$E$56,5,0),"")</f>
        <v>2.564102564102564E-2</v>
      </c>
      <c r="K192" s="121" t="s">
        <v>492</v>
      </c>
      <c r="L192" s="39" t="str">
        <f>IFERROR(VLOOKUP(Table6[[#This Row],[Error Code]],'Basic Data'!$T:$U,2,0),"")</f>
        <v>Manual Stop - Safety Related</v>
      </c>
      <c r="M192" s="364" t="s">
        <v>481</v>
      </c>
      <c r="O192" s="365">
        <v>0</v>
      </c>
      <c r="P192" s="365">
        <v>0.99930555555555556</v>
      </c>
      <c r="Q192" s="365">
        <v>0.99930555555555556</v>
      </c>
      <c r="R192" s="366">
        <f>IF(Table6[[#This Row],[Work Start TimeStamp]]="","",(Table6[[#This Row],[Work Start TimeStamp]]-Table6[[#This Row],[Fault Start TimeStamp]])*24)</f>
        <v>23.983333333333334</v>
      </c>
      <c r="S192" s="367">
        <f>(Table6[[#This Row],[Fault Clearance time]]-Table6[[#This Row],[Work Start TimeStamp]])*24</f>
        <v>0</v>
      </c>
      <c r="T192" s="368">
        <f>(Table6[[#This Row],[Fault Clearance time]]-Table6[[#This Row],[Fault Start TimeStamp]])*24</f>
        <v>23.983333333333334</v>
      </c>
      <c r="U192" s="364" t="s">
        <v>498</v>
      </c>
      <c r="V192" s="369" t="s">
        <v>473</v>
      </c>
      <c r="W192" s="354">
        <f>Table6[[#This Row],[Breakdown Time]]*(1/39)</f>
        <v>0.61495726495726499</v>
      </c>
      <c r="X192" s="352" t="s">
        <v>468</v>
      </c>
      <c r="Y192" s="370" t="s">
        <v>141</v>
      </c>
      <c r="Z192" s="121">
        <v>4658</v>
      </c>
      <c r="AA192" s="123">
        <v>4654.7652777777785</v>
      </c>
      <c r="AB192" s="121" t="s">
        <v>478</v>
      </c>
    </row>
    <row r="193" spans="1:28">
      <c r="A193" s="121">
        <f t="shared" si="2"/>
        <v>192</v>
      </c>
      <c r="B193" s="123">
        <f>YEAR(Table6[[#This Row],[Date]])+IF(MONTH(Table6[[#This Row],[Date]])&gt;=4,1,0)</f>
        <v>2026</v>
      </c>
      <c r="C193" s="121">
        <f>YEAR(Table6[[#This Row],[Date]])</f>
        <v>2025</v>
      </c>
      <c r="D193" s="121" t="s">
        <v>490</v>
      </c>
      <c r="E193" s="135">
        <f>Table6[[#This Row],[Date]]-DAY(Table6[[#This Row],[Date]])+1</f>
        <v>45748</v>
      </c>
      <c r="F193" s="134">
        <v>45751</v>
      </c>
      <c r="G193" s="121" t="s">
        <v>142</v>
      </c>
      <c r="H193" s="39" t="str">
        <f>_xlfn.XLOOKUP(Table6[[#This Row],[Affected WTG]],'Basic Data'!$A:$A,'Basic Data'!$B:$B)</f>
        <v>PWEGPL</v>
      </c>
      <c r="I193" s="39" t="str">
        <f>_xlfn.XLOOKUP(Table6[[#This Row],[Affected WTG]],'Basic Data'!$A:$A,'Basic Data'!$C:$C)</f>
        <v>MSEDCL</v>
      </c>
      <c r="J193" s="363">
        <f>IFERROR(VLOOKUP(Table6[[#This Row],[Affected WTG]],'Basic Data'!$A$3:$E$56,5,0),"")</f>
        <v>2.564102564102564E-2</v>
      </c>
      <c r="K193" s="121" t="s">
        <v>492</v>
      </c>
      <c r="L193" s="39" t="str">
        <f>IFERROR(VLOOKUP(Table6[[#This Row],[Error Code]],'Basic Data'!$T:$U,2,0),"")</f>
        <v>Manual Stop - Safety Related</v>
      </c>
      <c r="M193" s="364" t="s">
        <v>481</v>
      </c>
      <c r="O193" s="365">
        <v>0</v>
      </c>
      <c r="P193" s="365">
        <v>0.99930555555555556</v>
      </c>
      <c r="Q193" s="365">
        <v>0.99930555555555556</v>
      </c>
      <c r="R193" s="366">
        <f>IF(Table6[[#This Row],[Work Start TimeStamp]]="","",(Table6[[#This Row],[Work Start TimeStamp]]-Table6[[#This Row],[Fault Start TimeStamp]])*24)</f>
        <v>23.983333333333334</v>
      </c>
      <c r="S193" s="367">
        <f>(Table6[[#This Row],[Fault Clearance time]]-Table6[[#This Row],[Work Start TimeStamp]])*24</f>
        <v>0</v>
      </c>
      <c r="T193" s="368">
        <f>(Table6[[#This Row],[Fault Clearance time]]-Table6[[#This Row],[Fault Start TimeStamp]])*24</f>
        <v>23.983333333333334</v>
      </c>
      <c r="U193" s="364" t="s">
        <v>498</v>
      </c>
      <c r="V193" s="369" t="s">
        <v>473</v>
      </c>
      <c r="W193" s="354">
        <f>Table6[[#This Row],[Breakdown Time]]*(1/39)</f>
        <v>0.61495726495726499</v>
      </c>
      <c r="X193" s="352" t="s">
        <v>468</v>
      </c>
      <c r="Y193" s="370" t="s">
        <v>141</v>
      </c>
      <c r="Z193" s="121">
        <v>4658</v>
      </c>
      <c r="AA193" s="123">
        <v>4654.7652777777785</v>
      </c>
      <c r="AB193" s="121" t="s">
        <v>478</v>
      </c>
    </row>
    <row r="194" spans="1:28">
      <c r="A194" s="121">
        <f t="shared" si="2"/>
        <v>193</v>
      </c>
      <c r="B194" s="123">
        <f>YEAR(Table6[[#This Row],[Date]])+IF(MONTH(Table6[[#This Row],[Date]])&gt;=4,1,0)</f>
        <v>2026</v>
      </c>
      <c r="C194" s="121">
        <f>YEAR(Table6[[#This Row],[Date]])</f>
        <v>2025</v>
      </c>
      <c r="D194" s="121" t="s">
        <v>490</v>
      </c>
      <c r="E194" s="135">
        <f>Table6[[#This Row],[Date]]-DAY(Table6[[#This Row],[Date]])+1</f>
        <v>45748</v>
      </c>
      <c r="F194" s="134">
        <v>45751</v>
      </c>
      <c r="G194" s="121" t="s">
        <v>117</v>
      </c>
      <c r="H194" s="39" t="str">
        <f>_xlfn.XLOOKUP(Table6[[#This Row],[Affected WTG]],'Basic Data'!$A:$A,'Basic Data'!$B:$B)</f>
        <v>PWEGPL</v>
      </c>
      <c r="I194" s="39" t="str">
        <f>_xlfn.XLOOKUP(Table6[[#This Row],[Affected WTG]],'Basic Data'!$A:$A,'Basic Data'!$C:$C)</f>
        <v>MSEDCL</v>
      </c>
      <c r="J194" s="363">
        <f>IFERROR(VLOOKUP(Table6[[#This Row],[Affected WTG]],'Basic Data'!$A$3:$E$56,5,0),"")</f>
        <v>2.564102564102564E-2</v>
      </c>
      <c r="K194" s="121">
        <v>110</v>
      </c>
      <c r="L194" s="39" t="str">
        <f>IFERROR(VLOOKUP(Table6[[#This Row],[Error Code]],'Basic Data'!$T:$U,2,0),"")</f>
        <v>Yaw Sensor Wiring Error</v>
      </c>
      <c r="M194" s="364" t="s">
        <v>462</v>
      </c>
      <c r="O194" s="365">
        <v>0.51249999999999996</v>
      </c>
      <c r="P194" s="365">
        <v>0.58333333333333337</v>
      </c>
      <c r="Q194" s="365">
        <v>0.6</v>
      </c>
      <c r="R194" s="366">
        <f>IF(Table6[[#This Row],[Work Start TimeStamp]]="","",(Table6[[#This Row],[Work Start TimeStamp]]-Table6[[#This Row],[Fault Start TimeStamp]])*24)</f>
        <v>1.700000000000002</v>
      </c>
      <c r="S194" s="367">
        <f>(Table6[[#This Row],[Fault Clearance time]]-Table6[[#This Row],[Work Start TimeStamp]])*24</f>
        <v>0.39999999999999858</v>
      </c>
      <c r="T194" s="368">
        <f>(Table6[[#This Row],[Fault Clearance time]]-Table6[[#This Row],[Fault Start TimeStamp]])*24</f>
        <v>2.1000000000000005</v>
      </c>
      <c r="U194" s="364" t="s">
        <v>495</v>
      </c>
      <c r="V194" s="369" t="s">
        <v>463</v>
      </c>
      <c r="W194" s="354">
        <f>Table6[[#This Row],[Breakdown Time]]*(1/39)</f>
        <v>5.3846153846153856E-2</v>
      </c>
      <c r="X194" s="352" t="s">
        <v>465</v>
      </c>
      <c r="Y194" s="370" t="s">
        <v>118</v>
      </c>
      <c r="Z194" s="121">
        <v>884</v>
      </c>
      <c r="AA194" s="123">
        <v>77.350000000000023</v>
      </c>
      <c r="AB194" s="121" t="s">
        <v>478</v>
      </c>
    </row>
    <row r="195" spans="1:28">
      <c r="A195" s="121">
        <f t="shared" si="2"/>
        <v>194</v>
      </c>
      <c r="B195" s="123">
        <f>YEAR(Table6[[#This Row],[Date]])+IF(MONTH(Table6[[#This Row],[Date]])&gt;=4,1,0)</f>
        <v>2026</v>
      </c>
      <c r="C195" s="121">
        <f>YEAR(Table6[[#This Row],[Date]])</f>
        <v>2025</v>
      </c>
      <c r="D195" s="121" t="s">
        <v>490</v>
      </c>
      <c r="E195" s="135">
        <f>Table6[[#This Row],[Date]]-DAY(Table6[[#This Row],[Date]])+1</f>
        <v>45748</v>
      </c>
      <c r="F195" s="134">
        <v>45751</v>
      </c>
      <c r="G195" s="121" t="s">
        <v>118</v>
      </c>
      <c r="H195" s="39" t="str">
        <f>_xlfn.XLOOKUP(Table6[[#This Row],[Affected WTG]],'Basic Data'!$A:$A,'Basic Data'!$B:$B)</f>
        <v>PWEGPL</v>
      </c>
      <c r="I195" s="39" t="str">
        <f>_xlfn.XLOOKUP(Table6[[#This Row],[Affected WTG]],'Basic Data'!$A:$A,'Basic Data'!$C:$C)</f>
        <v>MSEDCL</v>
      </c>
      <c r="J195" s="363">
        <f>IFERROR(VLOOKUP(Table6[[#This Row],[Affected WTG]],'Basic Data'!$A$3:$E$56,5,0),"")</f>
        <v>2.564102564102564E-2</v>
      </c>
      <c r="K195" s="121">
        <v>1825</v>
      </c>
      <c r="L195" s="39" t="str">
        <f>IFERROR(VLOOKUP(Table6[[#This Row],[Error Code]],'Basic Data'!$T:$U,2,0),"")</f>
        <v>Automatics Not Ok</v>
      </c>
      <c r="M195" s="364" t="s">
        <v>462</v>
      </c>
      <c r="O195" s="365">
        <v>2.9861111111111113E-2</v>
      </c>
      <c r="P195" s="365">
        <v>7.3611111111111113E-2</v>
      </c>
      <c r="Q195" s="365">
        <v>0.46250000000000002</v>
      </c>
      <c r="R195" s="366">
        <f>IF(Table6[[#This Row],[Work Start TimeStamp]]="","",(Table6[[#This Row],[Work Start TimeStamp]]-Table6[[#This Row],[Fault Start TimeStamp]])*24)</f>
        <v>1.0499999999999998</v>
      </c>
      <c r="S195" s="367">
        <f>(Table6[[#This Row],[Fault Clearance time]]-Table6[[#This Row],[Work Start TimeStamp]])*24</f>
        <v>9.3333333333333339</v>
      </c>
      <c r="T195" s="368">
        <f>(Table6[[#This Row],[Fault Clearance time]]-Table6[[#This Row],[Fault Start TimeStamp]])*24</f>
        <v>10.383333333333333</v>
      </c>
      <c r="U195" s="364" t="s">
        <v>532</v>
      </c>
      <c r="V195" s="369" t="s">
        <v>463</v>
      </c>
      <c r="W195" s="354">
        <f>Table6[[#This Row],[Breakdown Time]]*(1/39)</f>
        <v>0.26623931623931624</v>
      </c>
      <c r="X195" s="352" t="s">
        <v>465</v>
      </c>
      <c r="Y195" s="370" t="s">
        <v>117</v>
      </c>
      <c r="Z195" s="121">
        <v>4436</v>
      </c>
      <c r="AA195" s="123">
        <v>1919.1861111111111</v>
      </c>
      <c r="AB195" s="121" t="s">
        <v>478</v>
      </c>
    </row>
    <row r="196" spans="1:28">
      <c r="A196" s="121">
        <f t="shared" ref="A196:A259" si="3">A195+1</f>
        <v>195</v>
      </c>
      <c r="B196" s="123">
        <f>YEAR(Table6[[#This Row],[Date]])+IF(MONTH(Table6[[#This Row],[Date]])&gt;=4,1,0)</f>
        <v>2026</v>
      </c>
      <c r="C196" s="121">
        <f>YEAR(Table6[[#This Row],[Date]])</f>
        <v>2025</v>
      </c>
      <c r="D196" s="121" t="s">
        <v>490</v>
      </c>
      <c r="E196" s="135">
        <f>Table6[[#This Row],[Date]]-DAY(Table6[[#This Row],[Date]])+1</f>
        <v>45748</v>
      </c>
      <c r="F196" s="134">
        <v>45751</v>
      </c>
      <c r="G196" s="121" t="s">
        <v>118</v>
      </c>
      <c r="H196" s="39" t="str">
        <f>_xlfn.XLOOKUP(Table6[[#This Row],[Affected WTG]],'Basic Data'!$A:$A,'Basic Data'!$B:$B)</f>
        <v>PWEGPL</v>
      </c>
      <c r="I196" s="39" t="str">
        <f>_xlfn.XLOOKUP(Table6[[#This Row],[Affected WTG]],'Basic Data'!$A:$A,'Basic Data'!$C:$C)</f>
        <v>MSEDCL</v>
      </c>
      <c r="J196" s="363">
        <f>IFERROR(VLOOKUP(Table6[[#This Row],[Affected WTG]],'Basic Data'!$A$3:$E$56,5,0),"")</f>
        <v>2.564102564102564E-2</v>
      </c>
      <c r="K196" s="121">
        <v>5200</v>
      </c>
      <c r="L196" s="39" t="str">
        <f>IFERROR(VLOOKUP(Table6[[#This Row],[Error Code]],'Basic Data'!$T:$U,2,0),"")</f>
        <v>Magnetothermic Trigger Of The Line Protection</v>
      </c>
      <c r="M196" s="364" t="s">
        <v>462</v>
      </c>
      <c r="O196" s="365">
        <v>0.8125</v>
      </c>
      <c r="P196" s="365">
        <v>0.92847222222222225</v>
      </c>
      <c r="Q196" s="365">
        <v>0.92847222222222225</v>
      </c>
      <c r="R196" s="366">
        <f>IF(Table6[[#This Row],[Work Start TimeStamp]]="","",(Table6[[#This Row],[Work Start TimeStamp]]-Table6[[#This Row],[Fault Start TimeStamp]])*24)</f>
        <v>2.7833333333333341</v>
      </c>
      <c r="S196" s="367">
        <f>(Table6[[#This Row],[Fault Clearance time]]-Table6[[#This Row],[Work Start TimeStamp]])*24</f>
        <v>0</v>
      </c>
      <c r="T196" s="368">
        <f>(Table6[[#This Row],[Fault Clearance time]]-Table6[[#This Row],[Fault Start TimeStamp]])*24</f>
        <v>2.7833333333333341</v>
      </c>
      <c r="U196" s="364" t="s">
        <v>493</v>
      </c>
      <c r="V196" s="369" t="s">
        <v>463</v>
      </c>
      <c r="W196" s="354">
        <f>Table6[[#This Row],[Breakdown Time]]*(1/39)</f>
        <v>7.1367521367521392E-2</v>
      </c>
      <c r="X196" s="352" t="s">
        <v>465</v>
      </c>
      <c r="Y196" s="370" t="s">
        <v>117</v>
      </c>
      <c r="Z196" s="121">
        <v>4436</v>
      </c>
      <c r="AA196" s="123">
        <v>514.4527777777779</v>
      </c>
      <c r="AB196" s="121" t="s">
        <v>478</v>
      </c>
    </row>
    <row r="197" spans="1:28">
      <c r="A197" s="121">
        <f t="shared" si="3"/>
        <v>196</v>
      </c>
      <c r="B197" s="123">
        <f>YEAR(Table6[[#This Row],[Date]])+IF(MONTH(Table6[[#This Row],[Date]])&gt;=4,1,0)</f>
        <v>2026</v>
      </c>
      <c r="C197" s="121">
        <f>YEAR(Table6[[#This Row],[Date]])</f>
        <v>2025</v>
      </c>
      <c r="D197" s="121" t="s">
        <v>490</v>
      </c>
      <c r="E197" s="135">
        <f>Table6[[#This Row],[Date]]-DAY(Table6[[#This Row],[Date]])+1</f>
        <v>45748</v>
      </c>
      <c r="F197" s="134">
        <v>45751</v>
      </c>
      <c r="G197" s="121" t="s">
        <v>120</v>
      </c>
      <c r="H197" s="39" t="str">
        <f>_xlfn.XLOOKUP(Table6[[#This Row],[Affected WTG]],'Basic Data'!$A:$A,'Basic Data'!$B:$B)</f>
        <v>PWEGPL</v>
      </c>
      <c r="I197" s="39" t="str">
        <f>_xlfn.XLOOKUP(Table6[[#This Row],[Affected WTG]],'Basic Data'!$A:$A,'Basic Data'!$C:$C)</f>
        <v>MSEDCL</v>
      </c>
      <c r="J197" s="363">
        <f>IFERROR(VLOOKUP(Table6[[#This Row],[Affected WTG]],'Basic Data'!$A$3:$E$56,5,0),"")</f>
        <v>2.564102564102564E-2</v>
      </c>
      <c r="K197" s="121">
        <v>5216</v>
      </c>
      <c r="L197" s="39" t="str">
        <f>IFERROR(VLOOKUP(Table6[[#This Row],[Error Code]],'Basic Data'!$T:$U,2,0),"")</f>
        <v>Grid Voltage Failure</v>
      </c>
      <c r="M197" s="364" t="s">
        <v>462</v>
      </c>
      <c r="O197" s="365">
        <v>0</v>
      </c>
      <c r="P197" s="365">
        <v>0</v>
      </c>
      <c r="Q197" s="365">
        <v>0.57430555555555551</v>
      </c>
      <c r="R197" s="366">
        <f>IF(Table6[[#This Row],[Work Start TimeStamp]]="","",(Table6[[#This Row],[Work Start TimeStamp]]-Table6[[#This Row],[Fault Start TimeStamp]])*24)</f>
        <v>0</v>
      </c>
      <c r="S197" s="367">
        <f>(Table6[[#This Row],[Fault Clearance time]]-Table6[[#This Row],[Work Start TimeStamp]])*24</f>
        <v>13.783333333333331</v>
      </c>
      <c r="T197" s="368">
        <f>(Table6[[#This Row],[Fault Clearance time]]-Table6[[#This Row],[Fault Start TimeStamp]])*24</f>
        <v>13.783333333333331</v>
      </c>
      <c r="U197" s="364" t="s">
        <v>533</v>
      </c>
      <c r="V197" s="369" t="s">
        <v>463</v>
      </c>
      <c r="W197" s="354">
        <f>Table6[[#This Row],[Breakdown Time]]*(1/39)</f>
        <v>0.35341880341880338</v>
      </c>
      <c r="X197" s="352" t="s">
        <v>465</v>
      </c>
      <c r="Y197" s="370" t="s">
        <v>117</v>
      </c>
      <c r="Z197" s="121">
        <v>4436</v>
      </c>
      <c r="AA197" s="123">
        <v>2547.6194444444441</v>
      </c>
      <c r="AB197" s="121" t="s">
        <v>478</v>
      </c>
    </row>
    <row r="198" spans="1:28">
      <c r="A198" s="121">
        <f t="shared" si="3"/>
        <v>197</v>
      </c>
      <c r="B198" s="123">
        <f>YEAR(Table6[[#This Row],[Date]])+IF(MONTH(Table6[[#This Row],[Date]])&gt;=4,1,0)</f>
        <v>2026</v>
      </c>
      <c r="C198" s="121">
        <f>YEAR(Table6[[#This Row],[Date]])</f>
        <v>2025</v>
      </c>
      <c r="D198" s="121" t="s">
        <v>490</v>
      </c>
      <c r="E198" s="135">
        <f>Table6[[#This Row],[Date]]-DAY(Table6[[#This Row],[Date]])+1</f>
        <v>45748</v>
      </c>
      <c r="F198" s="134">
        <v>45751</v>
      </c>
      <c r="G198" s="121" t="s">
        <v>121</v>
      </c>
      <c r="H198" s="39" t="str">
        <f>_xlfn.XLOOKUP(Table6[[#This Row],[Affected WTG]],'Basic Data'!$A:$A,'Basic Data'!$B:$B)</f>
        <v>PWEGPL</v>
      </c>
      <c r="I198" s="39" t="str">
        <f>_xlfn.XLOOKUP(Table6[[#This Row],[Affected WTG]],'Basic Data'!$A:$A,'Basic Data'!$C:$C)</f>
        <v>MSEDCL</v>
      </c>
      <c r="J198" s="363">
        <f>IFERROR(VLOOKUP(Table6[[#This Row],[Affected WTG]],'Basic Data'!$A$3:$E$56,5,0),"")</f>
        <v>2.564102564102564E-2</v>
      </c>
      <c r="K198" s="121">
        <v>2102</v>
      </c>
      <c r="L198" s="39" t="str">
        <f>IFERROR(VLOOKUP(Table6[[#This Row],[Error Code]],'Basic Data'!$T:$U,2,0),"")</f>
        <v>PLC Module Failure</v>
      </c>
      <c r="M198" s="364" t="s">
        <v>462</v>
      </c>
      <c r="O198" s="365">
        <v>0</v>
      </c>
      <c r="P198" s="365">
        <v>0.16875000000000001</v>
      </c>
      <c r="Q198" s="365">
        <v>0.1875</v>
      </c>
      <c r="R198" s="366">
        <f>IF(Table6[[#This Row],[Work Start TimeStamp]]="","",(Table6[[#This Row],[Work Start TimeStamp]]-Table6[[#This Row],[Fault Start TimeStamp]])*24)</f>
        <v>4.0500000000000007</v>
      </c>
      <c r="S198" s="367">
        <f>(Table6[[#This Row],[Fault Clearance time]]-Table6[[#This Row],[Work Start TimeStamp]])*24</f>
        <v>0.44999999999999973</v>
      </c>
      <c r="T198" s="368">
        <f>(Table6[[#This Row],[Fault Clearance time]]-Table6[[#This Row],[Fault Start TimeStamp]])*24</f>
        <v>4.5</v>
      </c>
      <c r="U198" s="364" t="s">
        <v>491</v>
      </c>
      <c r="V198" s="369" t="s">
        <v>463</v>
      </c>
      <c r="W198" s="354">
        <f>Table6[[#This Row],[Breakdown Time]]*(1/39)</f>
        <v>0.11538461538461538</v>
      </c>
      <c r="X198" s="352" t="s">
        <v>465</v>
      </c>
      <c r="Y198" s="370" t="s">
        <v>115</v>
      </c>
      <c r="Z198" s="121">
        <v>5220</v>
      </c>
      <c r="AA198" s="123">
        <v>978.75</v>
      </c>
      <c r="AB198" s="121" t="s">
        <v>478</v>
      </c>
    </row>
    <row r="199" spans="1:28">
      <c r="A199" s="121">
        <f t="shared" si="3"/>
        <v>198</v>
      </c>
      <c r="B199" s="123">
        <f>YEAR(Table6[[#This Row],[Date]])+IF(MONTH(Table6[[#This Row],[Date]])&gt;=4,1,0)</f>
        <v>2026</v>
      </c>
      <c r="C199" s="121">
        <f>YEAR(Table6[[#This Row],[Date]])</f>
        <v>2025</v>
      </c>
      <c r="D199" s="121" t="s">
        <v>490</v>
      </c>
      <c r="E199" s="135">
        <f>Table6[[#This Row],[Date]]-DAY(Table6[[#This Row],[Date]])+1</f>
        <v>45748</v>
      </c>
      <c r="F199" s="134">
        <v>45751</v>
      </c>
      <c r="G199" s="121" t="s">
        <v>122</v>
      </c>
      <c r="H199" s="39" t="str">
        <f>_xlfn.XLOOKUP(Table6[[#This Row],[Affected WTG]],'Basic Data'!$A:$A,'Basic Data'!$B:$B)</f>
        <v>PWEGPL</v>
      </c>
      <c r="I199" s="39" t="str">
        <f>_xlfn.XLOOKUP(Table6[[#This Row],[Affected WTG]],'Basic Data'!$A:$A,'Basic Data'!$C:$C)</f>
        <v>MSEDCL</v>
      </c>
      <c r="J199" s="363">
        <f>IFERROR(VLOOKUP(Table6[[#This Row],[Affected WTG]],'Basic Data'!$A$3:$E$56,5,0),"")</f>
        <v>2.564102564102564E-2</v>
      </c>
      <c r="K199" s="121">
        <v>125</v>
      </c>
      <c r="L199" s="39" t="str">
        <f>IFERROR(VLOOKUP(Table6[[#This Row],[Error Code]],'Basic Data'!$T:$U,2,0),"")</f>
        <v xml:space="preserve">Yaw Motors Over Current Protection </v>
      </c>
      <c r="M199" s="364" t="s">
        <v>462</v>
      </c>
      <c r="O199" s="365">
        <v>0.61111111111111116</v>
      </c>
      <c r="P199" s="365">
        <v>0.65763888888888888</v>
      </c>
      <c r="Q199" s="365">
        <v>1</v>
      </c>
      <c r="R199" s="366">
        <f>IF(Table6[[#This Row],[Work Start TimeStamp]]="","",(Table6[[#This Row],[Work Start TimeStamp]]-Table6[[#This Row],[Fault Start TimeStamp]])*24)</f>
        <v>1.1166666666666654</v>
      </c>
      <c r="S199" s="367">
        <f>(Table6[[#This Row],[Fault Clearance time]]-Table6[[#This Row],[Work Start TimeStamp]])*24</f>
        <v>8.2166666666666668</v>
      </c>
      <c r="T199" s="368">
        <f>(Table6[[#This Row],[Fault Clearance time]]-Table6[[#This Row],[Fault Start TimeStamp]])*24</f>
        <v>9.3333333333333321</v>
      </c>
      <c r="U199" s="364" t="s">
        <v>516</v>
      </c>
      <c r="V199" s="369" t="s">
        <v>463</v>
      </c>
      <c r="W199" s="354">
        <f>Table6[[#This Row],[Breakdown Time]]*(1/39)</f>
        <v>0.23931623931623927</v>
      </c>
      <c r="X199" s="352" t="s">
        <v>465</v>
      </c>
      <c r="Y199" s="370" t="s">
        <v>117</v>
      </c>
      <c r="Z199" s="121">
        <v>4436</v>
      </c>
      <c r="AA199" s="123">
        <v>1725.1111111111111</v>
      </c>
      <c r="AB199" s="121" t="s">
        <v>478</v>
      </c>
    </row>
    <row r="200" spans="1:28">
      <c r="A200" s="121">
        <f t="shared" si="3"/>
        <v>199</v>
      </c>
      <c r="B200" s="123">
        <f>YEAR(Table6[[#This Row],[Date]])+IF(MONTH(Table6[[#This Row],[Date]])&gt;=4,1,0)</f>
        <v>2026</v>
      </c>
      <c r="C200" s="121">
        <f>YEAR(Table6[[#This Row],[Date]])</f>
        <v>2025</v>
      </c>
      <c r="D200" s="121" t="s">
        <v>490</v>
      </c>
      <c r="E200" s="135">
        <f>Table6[[#This Row],[Date]]-DAY(Table6[[#This Row],[Date]])+1</f>
        <v>45748</v>
      </c>
      <c r="F200" s="134">
        <v>45751</v>
      </c>
      <c r="G200" s="121" t="s">
        <v>125</v>
      </c>
      <c r="H200" s="39" t="str">
        <f>_xlfn.XLOOKUP(Table6[[#This Row],[Affected WTG]],'Basic Data'!$A:$A,'Basic Data'!$B:$B)</f>
        <v>PWEGPL</v>
      </c>
      <c r="I200" s="39" t="str">
        <f>_xlfn.XLOOKUP(Table6[[#This Row],[Affected WTG]],'Basic Data'!$A:$A,'Basic Data'!$C:$C)</f>
        <v>MSEDCL</v>
      </c>
      <c r="J200" s="363">
        <f>IFERROR(VLOOKUP(Table6[[#This Row],[Affected WTG]],'Basic Data'!$A$3:$E$56,5,0),"")</f>
        <v>2.564102564102564E-2</v>
      </c>
      <c r="K200" s="121">
        <v>116</v>
      </c>
      <c r="L200" s="39" t="str">
        <f>IFERROR(VLOOKUP(Table6[[#This Row],[Error Code]],'Basic Data'!$T:$U,2,0),"")</f>
        <v>Orienting and High Yaw Brake Pressure</v>
      </c>
      <c r="M200" s="364" t="s">
        <v>462</v>
      </c>
      <c r="O200" s="365">
        <v>0.50416666666666665</v>
      </c>
      <c r="P200" s="365">
        <v>0.50416666666666665</v>
      </c>
      <c r="Q200" s="365">
        <v>0.50763888888888886</v>
      </c>
      <c r="R200" s="366">
        <f>IF(Table6[[#This Row],[Work Start TimeStamp]]="","",(Table6[[#This Row],[Work Start TimeStamp]]-Table6[[#This Row],[Fault Start TimeStamp]])*24)</f>
        <v>0</v>
      </c>
      <c r="S200" s="367">
        <f>(Table6[[#This Row],[Fault Clearance time]]-Table6[[#This Row],[Work Start TimeStamp]])*24</f>
        <v>8.3333333333333037E-2</v>
      </c>
      <c r="T200" s="368">
        <f>(Table6[[#This Row],[Fault Clearance time]]-Table6[[#This Row],[Fault Start TimeStamp]])*24</f>
        <v>8.3333333333333037E-2</v>
      </c>
      <c r="U200" s="364" t="s">
        <v>480</v>
      </c>
      <c r="V200" s="369" t="s">
        <v>463</v>
      </c>
      <c r="W200" s="354">
        <f>Table6[[#This Row],[Breakdown Time]]*(1/39)</f>
        <v>2.1367521367521292E-3</v>
      </c>
      <c r="X200" s="352" t="s">
        <v>465</v>
      </c>
      <c r="Y200" s="370" t="s">
        <v>124</v>
      </c>
      <c r="Z200" s="121">
        <v>5040</v>
      </c>
      <c r="AA200" s="123">
        <v>17.499999999999936</v>
      </c>
      <c r="AB200" s="121" t="s">
        <v>478</v>
      </c>
    </row>
    <row r="201" spans="1:28">
      <c r="A201" s="121">
        <f t="shared" si="3"/>
        <v>200</v>
      </c>
      <c r="B201" s="123">
        <f>YEAR(Table6[[#This Row],[Date]])+IF(MONTH(Table6[[#This Row],[Date]])&gt;=4,1,0)</f>
        <v>2026</v>
      </c>
      <c r="C201" s="121">
        <f>YEAR(Table6[[#This Row],[Date]])</f>
        <v>2025</v>
      </c>
      <c r="D201" s="121" t="s">
        <v>490</v>
      </c>
      <c r="E201" s="135">
        <f>Table6[[#This Row],[Date]]-DAY(Table6[[#This Row],[Date]])+1</f>
        <v>45748</v>
      </c>
      <c r="F201" s="134">
        <v>45751</v>
      </c>
      <c r="G201" s="121" t="s">
        <v>125</v>
      </c>
      <c r="H201" s="39" t="str">
        <f>_xlfn.XLOOKUP(Table6[[#This Row],[Affected WTG]],'Basic Data'!$A:$A,'Basic Data'!$B:$B)</f>
        <v>PWEGPL</v>
      </c>
      <c r="I201" s="39" t="str">
        <f>_xlfn.XLOOKUP(Table6[[#This Row],[Affected WTG]],'Basic Data'!$A:$A,'Basic Data'!$C:$C)</f>
        <v>MSEDCL</v>
      </c>
      <c r="J201" s="363">
        <f>IFERROR(VLOOKUP(Table6[[#This Row],[Affected WTG]],'Basic Data'!$A$3:$E$56,5,0),"")</f>
        <v>2.564102564102564E-2</v>
      </c>
      <c r="K201" s="121">
        <v>116</v>
      </c>
      <c r="L201" s="39" t="str">
        <f>IFERROR(VLOOKUP(Table6[[#This Row],[Error Code]],'Basic Data'!$T:$U,2,0),"")</f>
        <v>Orienting and High Yaw Brake Pressure</v>
      </c>
      <c r="M201" s="364" t="s">
        <v>462</v>
      </c>
      <c r="O201" s="365">
        <v>0.53263888888888888</v>
      </c>
      <c r="P201" s="365">
        <v>0.53263888888888888</v>
      </c>
      <c r="Q201" s="365">
        <v>0.53611111111111109</v>
      </c>
      <c r="R201" s="366">
        <f>IF(Table6[[#This Row],[Work Start TimeStamp]]="","",(Table6[[#This Row],[Work Start TimeStamp]]-Table6[[#This Row],[Fault Start TimeStamp]])*24)</f>
        <v>0</v>
      </c>
      <c r="S201" s="367">
        <f>(Table6[[#This Row],[Fault Clearance time]]-Table6[[#This Row],[Work Start TimeStamp]])*24</f>
        <v>8.3333333333333037E-2</v>
      </c>
      <c r="T201" s="368">
        <f>(Table6[[#This Row],[Fault Clearance time]]-Table6[[#This Row],[Fault Start TimeStamp]])*24</f>
        <v>8.3333333333333037E-2</v>
      </c>
      <c r="U201" s="364" t="s">
        <v>480</v>
      </c>
      <c r="V201" s="369" t="s">
        <v>463</v>
      </c>
      <c r="W201" s="354">
        <f>Table6[[#This Row],[Breakdown Time]]*(1/39)</f>
        <v>2.1367521367521292E-3</v>
      </c>
      <c r="X201" s="352" t="s">
        <v>465</v>
      </c>
      <c r="Y201" s="370" t="s">
        <v>124</v>
      </c>
      <c r="Z201" s="121">
        <v>5040</v>
      </c>
      <c r="AA201" s="123">
        <v>17.499999999999936</v>
      </c>
      <c r="AB201" s="121" t="s">
        <v>478</v>
      </c>
    </row>
    <row r="202" spans="1:28">
      <c r="A202" s="121">
        <f t="shared" si="3"/>
        <v>201</v>
      </c>
      <c r="B202" s="123">
        <f>YEAR(Table6[[#This Row],[Date]])+IF(MONTH(Table6[[#This Row],[Date]])&gt;=4,1,0)</f>
        <v>2026</v>
      </c>
      <c r="C202" s="121">
        <f>YEAR(Table6[[#This Row],[Date]])</f>
        <v>2025</v>
      </c>
      <c r="D202" s="121" t="s">
        <v>490</v>
      </c>
      <c r="E202" s="135">
        <f>Table6[[#This Row],[Date]]-DAY(Table6[[#This Row],[Date]])+1</f>
        <v>45748</v>
      </c>
      <c r="F202" s="134">
        <v>45751</v>
      </c>
      <c r="G202" s="121" t="s">
        <v>126</v>
      </c>
      <c r="H202" s="39" t="str">
        <f>_xlfn.XLOOKUP(Table6[[#This Row],[Affected WTG]],'Basic Data'!$A:$A,'Basic Data'!$B:$B)</f>
        <v>PWEGPL</v>
      </c>
      <c r="I202" s="39" t="str">
        <f>_xlfn.XLOOKUP(Table6[[#This Row],[Affected WTG]],'Basic Data'!$A:$A,'Basic Data'!$C:$C)</f>
        <v>MSEDCL</v>
      </c>
      <c r="J202" s="363">
        <f>IFERROR(VLOOKUP(Table6[[#This Row],[Affected WTG]],'Basic Data'!$A$3:$E$56,5,0),"")</f>
        <v>2.564102564102564E-2</v>
      </c>
      <c r="K202" s="121">
        <v>5210</v>
      </c>
      <c r="L202" s="39" t="str">
        <f>IFERROR(VLOOKUP(Table6[[#This Row],[Error Code]],'Basic Data'!$T:$U,2,0),"")</f>
        <v>Failure Of The Contactor's Rotor Power</v>
      </c>
      <c r="M202" s="364" t="s">
        <v>462</v>
      </c>
      <c r="O202" s="365">
        <v>0.56388888888888888</v>
      </c>
      <c r="P202" s="365">
        <v>0.5708333333333333</v>
      </c>
      <c r="Q202" s="365">
        <v>0.5708333333333333</v>
      </c>
      <c r="R202" s="366">
        <f>IF(Table6[[#This Row],[Work Start TimeStamp]]="","",(Table6[[#This Row],[Work Start TimeStamp]]-Table6[[#This Row],[Fault Start TimeStamp]])*24)</f>
        <v>0.16666666666666607</v>
      </c>
      <c r="S202" s="367">
        <f>(Table6[[#This Row],[Fault Clearance time]]-Table6[[#This Row],[Work Start TimeStamp]])*24</f>
        <v>0</v>
      </c>
      <c r="T202" s="368">
        <f>(Table6[[#This Row],[Fault Clearance time]]-Table6[[#This Row],[Fault Start TimeStamp]])*24</f>
        <v>0.16666666666666607</v>
      </c>
      <c r="U202" s="364" t="s">
        <v>493</v>
      </c>
      <c r="V202" s="369" t="s">
        <v>463</v>
      </c>
      <c r="W202" s="354">
        <f>Table6[[#This Row],[Breakdown Time]]*(1/39)</f>
        <v>4.2735042735042583E-3</v>
      </c>
      <c r="X202" s="352" t="s">
        <v>465</v>
      </c>
      <c r="Y202" s="370" t="s">
        <v>123</v>
      </c>
      <c r="Z202" s="121">
        <v>4356</v>
      </c>
      <c r="AA202" s="123">
        <v>30.249999999999893</v>
      </c>
      <c r="AB202" s="121" t="s">
        <v>478</v>
      </c>
    </row>
    <row r="203" spans="1:28">
      <c r="A203" s="121">
        <f t="shared" si="3"/>
        <v>202</v>
      </c>
      <c r="B203" s="123">
        <f>YEAR(Table6[[#This Row],[Date]])+IF(MONTH(Table6[[#This Row],[Date]])&gt;=4,1,0)</f>
        <v>2026</v>
      </c>
      <c r="C203" s="121">
        <f>YEAR(Table6[[#This Row],[Date]])</f>
        <v>2025</v>
      </c>
      <c r="D203" s="121" t="s">
        <v>490</v>
      </c>
      <c r="E203" s="135">
        <f>Table6[[#This Row],[Date]]-DAY(Table6[[#This Row],[Date]])+1</f>
        <v>45748</v>
      </c>
      <c r="F203" s="134">
        <v>45751</v>
      </c>
      <c r="G203" s="121" t="s">
        <v>127</v>
      </c>
      <c r="H203" s="39" t="str">
        <f>_xlfn.XLOOKUP(Table6[[#This Row],[Affected WTG]],'Basic Data'!$A:$A,'Basic Data'!$B:$B)</f>
        <v>PWEGPL</v>
      </c>
      <c r="I203" s="39" t="str">
        <f>_xlfn.XLOOKUP(Table6[[#This Row],[Affected WTG]],'Basic Data'!$A:$A,'Basic Data'!$C:$C)</f>
        <v>MSEDCL</v>
      </c>
      <c r="J203" s="363">
        <f>IFERROR(VLOOKUP(Table6[[#This Row],[Affected WTG]],'Basic Data'!$A$3:$E$56,5,0),"")</f>
        <v>2.564102564102564E-2</v>
      </c>
      <c r="K203" s="121">
        <v>500</v>
      </c>
      <c r="L203" s="39" t="str">
        <f>IFERROR(VLOOKUP(Table6[[#This Row],[Error Code]],'Basic Data'!$T:$U,2,0),"")</f>
        <v>High Generator Winding Temperature</v>
      </c>
      <c r="M203" s="364" t="s">
        <v>462</v>
      </c>
      <c r="O203" s="365">
        <v>6.2500000000000003E-3</v>
      </c>
      <c r="P203" s="365">
        <v>6.2500000000000003E-3</v>
      </c>
      <c r="Q203" s="365">
        <v>9.7222222222222224E-3</v>
      </c>
      <c r="R203" s="366">
        <f>IF(Table6[[#This Row],[Work Start TimeStamp]]="","",(Table6[[#This Row],[Work Start TimeStamp]]-Table6[[#This Row],[Fault Start TimeStamp]])*24)</f>
        <v>0</v>
      </c>
      <c r="S203" s="367">
        <f>(Table6[[#This Row],[Fault Clearance time]]-Table6[[#This Row],[Work Start TimeStamp]])*24</f>
        <v>8.3333333333333329E-2</v>
      </c>
      <c r="T203" s="368">
        <f>(Table6[[#This Row],[Fault Clearance time]]-Table6[[#This Row],[Fault Start TimeStamp]])*24</f>
        <v>8.3333333333333329E-2</v>
      </c>
      <c r="U203" s="364" t="s">
        <v>480</v>
      </c>
      <c r="V203" s="369" t="s">
        <v>463</v>
      </c>
      <c r="W203" s="354">
        <f>Table6[[#This Row],[Breakdown Time]]*(1/39)</f>
        <v>2.1367521367521365E-3</v>
      </c>
      <c r="X203" s="352" t="s">
        <v>465</v>
      </c>
      <c r="Y203" s="370" t="s">
        <v>126</v>
      </c>
      <c r="Z203" s="121">
        <v>4980</v>
      </c>
      <c r="AA203" s="123">
        <v>17.291666666666664</v>
      </c>
      <c r="AB203" s="121" t="s">
        <v>478</v>
      </c>
    </row>
    <row r="204" spans="1:28">
      <c r="A204" s="121">
        <f t="shared" si="3"/>
        <v>203</v>
      </c>
      <c r="B204" s="123">
        <f>YEAR(Table6[[#This Row],[Date]])+IF(MONTH(Table6[[#This Row],[Date]])&gt;=4,1,0)</f>
        <v>2026</v>
      </c>
      <c r="C204" s="121">
        <f>YEAR(Table6[[#This Row],[Date]])</f>
        <v>2025</v>
      </c>
      <c r="D204" s="121" t="s">
        <v>490</v>
      </c>
      <c r="E204" s="135">
        <f>Table6[[#This Row],[Date]]-DAY(Table6[[#This Row],[Date]])+1</f>
        <v>45748</v>
      </c>
      <c r="F204" s="134">
        <v>45751</v>
      </c>
      <c r="G204" s="121" t="s">
        <v>128</v>
      </c>
      <c r="H204" s="39" t="str">
        <f>_xlfn.XLOOKUP(Table6[[#This Row],[Affected WTG]],'Basic Data'!$A:$A,'Basic Data'!$B:$B)</f>
        <v>PWEGPL</v>
      </c>
      <c r="I204" s="39" t="str">
        <f>_xlfn.XLOOKUP(Table6[[#This Row],[Affected WTG]],'Basic Data'!$A:$A,'Basic Data'!$C:$C)</f>
        <v>MSEDCL</v>
      </c>
      <c r="J204" s="363">
        <f>IFERROR(VLOOKUP(Table6[[#This Row],[Affected WTG]],'Basic Data'!$A$3:$E$56,5,0),"")</f>
        <v>2.564102564102564E-2</v>
      </c>
      <c r="K204" s="121">
        <v>222</v>
      </c>
      <c r="L204" s="39" t="str">
        <f>IFERROR(VLOOKUP(Table6[[#This Row],[Error Code]],'Basic Data'!$T:$U,2,0),"")</f>
        <v>Very Low Pressure On Hydraulic Unit</v>
      </c>
      <c r="M204" s="364" t="s">
        <v>462</v>
      </c>
      <c r="O204" s="365">
        <v>0.65416666666666667</v>
      </c>
      <c r="P204" s="365">
        <v>0.65416666666666667</v>
      </c>
      <c r="Q204" s="365">
        <v>0.66388888888888886</v>
      </c>
      <c r="R204" s="366">
        <f>IF(Table6[[#This Row],[Work Start TimeStamp]]="","",(Table6[[#This Row],[Work Start TimeStamp]]-Table6[[#This Row],[Fault Start TimeStamp]])*24)</f>
        <v>0</v>
      </c>
      <c r="S204" s="367">
        <f>(Table6[[#This Row],[Fault Clearance time]]-Table6[[#This Row],[Work Start TimeStamp]])*24</f>
        <v>0.2333333333333325</v>
      </c>
      <c r="T204" s="368">
        <f>(Table6[[#This Row],[Fault Clearance time]]-Table6[[#This Row],[Fault Start TimeStamp]])*24</f>
        <v>0.2333333333333325</v>
      </c>
      <c r="U204" s="364" t="s">
        <v>493</v>
      </c>
      <c r="V204" s="369" t="s">
        <v>463</v>
      </c>
      <c r="W204" s="354">
        <f>Table6[[#This Row],[Breakdown Time]]*(1/39)</f>
        <v>5.9829059829059617E-3</v>
      </c>
      <c r="X204" s="352" t="s">
        <v>465</v>
      </c>
      <c r="Y204" s="370" t="s">
        <v>127</v>
      </c>
      <c r="Z204" s="121">
        <v>4190</v>
      </c>
      <c r="AA204" s="123">
        <v>40.736111111110965</v>
      </c>
      <c r="AB204" s="121" t="s">
        <v>478</v>
      </c>
    </row>
    <row r="205" spans="1:28">
      <c r="A205" s="121">
        <f t="shared" si="3"/>
        <v>204</v>
      </c>
      <c r="B205" s="123">
        <f>YEAR(Table6[[#This Row],[Date]])+IF(MONTH(Table6[[#This Row],[Date]])&gt;=4,1,0)</f>
        <v>2026</v>
      </c>
      <c r="C205" s="121">
        <f>YEAR(Table6[[#This Row],[Date]])</f>
        <v>2025</v>
      </c>
      <c r="D205" s="121" t="s">
        <v>490</v>
      </c>
      <c r="E205" s="135">
        <f>Table6[[#This Row],[Date]]-DAY(Table6[[#This Row],[Date]])+1</f>
        <v>45748</v>
      </c>
      <c r="F205" s="134">
        <v>45751</v>
      </c>
      <c r="G205" s="121" t="s">
        <v>130</v>
      </c>
      <c r="H205" s="39" t="str">
        <f>_xlfn.XLOOKUP(Table6[[#This Row],[Affected WTG]],'Basic Data'!$A:$A,'Basic Data'!$B:$B)</f>
        <v>PWEGPL</v>
      </c>
      <c r="I205" s="39" t="str">
        <f>_xlfn.XLOOKUP(Table6[[#This Row],[Affected WTG]],'Basic Data'!$A:$A,'Basic Data'!$C:$C)</f>
        <v>MSEDCL</v>
      </c>
      <c r="J205" s="363">
        <f>IFERROR(VLOOKUP(Table6[[#This Row],[Affected WTG]],'Basic Data'!$A$3:$E$56,5,0),"")</f>
        <v>2.564102564102564E-2</v>
      </c>
      <c r="K205" s="121">
        <v>5248</v>
      </c>
      <c r="L205" s="39" t="str">
        <f>IFERROR(VLOOKUP(Table6[[#This Row],[Error Code]],'Basic Data'!$T:$U,2,0),"")</f>
        <v>Active Crowbar IGBT Errors</v>
      </c>
      <c r="M205" s="364" t="s">
        <v>462</v>
      </c>
      <c r="O205" s="365">
        <v>0</v>
      </c>
      <c r="P205" s="365">
        <v>0</v>
      </c>
      <c r="Q205" s="365">
        <v>0.40972222222222221</v>
      </c>
      <c r="R205" s="366">
        <f>IF(Table6[[#This Row],[Work Start TimeStamp]]="","",(Table6[[#This Row],[Work Start TimeStamp]]-Table6[[#This Row],[Fault Start TimeStamp]])*24)</f>
        <v>0</v>
      </c>
      <c r="S205" s="367">
        <f>(Table6[[#This Row],[Fault Clearance time]]-Table6[[#This Row],[Work Start TimeStamp]])*24</f>
        <v>9.8333333333333321</v>
      </c>
      <c r="T205" s="368">
        <f>(Table6[[#This Row],[Fault Clearance time]]-Table6[[#This Row],[Fault Start TimeStamp]])*24</f>
        <v>9.8333333333333321</v>
      </c>
      <c r="U205" s="364" t="s">
        <v>500</v>
      </c>
      <c r="V205" s="369" t="s">
        <v>473</v>
      </c>
      <c r="W205" s="354">
        <f>Table6[[#This Row],[Breakdown Time]]*(1/39)</f>
        <v>0.25213675213675207</v>
      </c>
      <c r="X205" s="352" t="s">
        <v>465</v>
      </c>
      <c r="Y205" s="370" t="s">
        <v>131</v>
      </c>
      <c r="Z205" s="121">
        <v>5176</v>
      </c>
      <c r="AA205" s="123">
        <v>2120.7222222222217</v>
      </c>
      <c r="AB205" s="121" t="s">
        <v>478</v>
      </c>
    </row>
    <row r="206" spans="1:28">
      <c r="A206" s="121">
        <f t="shared" si="3"/>
        <v>205</v>
      </c>
      <c r="B206" s="123">
        <f>YEAR(Table6[[#This Row],[Date]])+IF(MONTH(Table6[[#This Row],[Date]])&gt;=4,1,0)</f>
        <v>2026</v>
      </c>
      <c r="C206" s="121">
        <f>YEAR(Table6[[#This Row],[Date]])</f>
        <v>2025</v>
      </c>
      <c r="D206" s="121" t="s">
        <v>490</v>
      </c>
      <c r="E206" s="135">
        <f>Table6[[#This Row],[Date]]-DAY(Table6[[#This Row],[Date]])+1</f>
        <v>45748</v>
      </c>
      <c r="F206" s="134">
        <v>45751</v>
      </c>
      <c r="G206" s="121" t="s">
        <v>130</v>
      </c>
      <c r="H206" s="39" t="str">
        <f>_xlfn.XLOOKUP(Table6[[#This Row],[Affected WTG]],'Basic Data'!$A:$A,'Basic Data'!$B:$B)</f>
        <v>PWEGPL</v>
      </c>
      <c r="I206" s="39" t="str">
        <f>_xlfn.XLOOKUP(Table6[[#This Row],[Affected WTG]],'Basic Data'!$A:$A,'Basic Data'!$C:$C)</f>
        <v>MSEDCL</v>
      </c>
      <c r="J206" s="363">
        <f>IFERROR(VLOOKUP(Table6[[#This Row],[Affected WTG]],'Basic Data'!$A$3:$E$56,5,0),"")</f>
        <v>2.564102564102564E-2</v>
      </c>
      <c r="K206" s="121" t="s">
        <v>492</v>
      </c>
      <c r="L206" s="39" t="str">
        <f>IFERROR(VLOOKUP(Table6[[#This Row],[Error Code]],'Basic Data'!$T:$U,2,0),"")</f>
        <v>Manual Stop - Safety Related</v>
      </c>
      <c r="M206" s="364" t="s">
        <v>481</v>
      </c>
      <c r="O206" s="365">
        <v>0.40972222222222221</v>
      </c>
      <c r="P206" s="365">
        <v>0.40972222222222221</v>
      </c>
      <c r="Q206" s="365">
        <v>0.59027777777777779</v>
      </c>
      <c r="R206" s="366">
        <f>IF(Table6[[#This Row],[Work Start TimeStamp]]="","",(Table6[[#This Row],[Work Start TimeStamp]]-Table6[[#This Row],[Fault Start TimeStamp]])*24)</f>
        <v>0</v>
      </c>
      <c r="S206" s="367">
        <f>(Table6[[#This Row],[Fault Clearance time]]-Table6[[#This Row],[Work Start TimeStamp]])*24</f>
        <v>4.3333333333333339</v>
      </c>
      <c r="T206" s="368">
        <f>(Table6[[#This Row],[Fault Clearance time]]-Table6[[#This Row],[Fault Start TimeStamp]])*24</f>
        <v>4.3333333333333339</v>
      </c>
      <c r="U206" s="364" t="s">
        <v>534</v>
      </c>
      <c r="V206" s="369" t="s">
        <v>463</v>
      </c>
      <c r="W206" s="354">
        <f>Table6[[#This Row],[Breakdown Time]]*(1/39)</f>
        <v>0.11111111111111112</v>
      </c>
      <c r="X206" s="352" t="s">
        <v>468</v>
      </c>
      <c r="Y206" s="370" t="s">
        <v>131</v>
      </c>
      <c r="Z206" s="121">
        <v>5176</v>
      </c>
      <c r="AA206" s="123">
        <v>934.55555555555566</v>
      </c>
      <c r="AB206" s="121" t="s">
        <v>478</v>
      </c>
    </row>
    <row r="207" spans="1:28">
      <c r="A207" s="121">
        <f t="shared" si="3"/>
        <v>206</v>
      </c>
      <c r="B207" s="123">
        <f>YEAR(Table6[[#This Row],[Date]])+IF(MONTH(Table6[[#This Row],[Date]])&gt;=4,1,0)</f>
        <v>2026</v>
      </c>
      <c r="C207" s="121">
        <f>YEAR(Table6[[#This Row],[Date]])</f>
        <v>2025</v>
      </c>
      <c r="D207" s="121" t="s">
        <v>490</v>
      </c>
      <c r="E207" s="135">
        <f>Table6[[#This Row],[Date]]-DAY(Table6[[#This Row],[Date]])+1</f>
        <v>45748</v>
      </c>
      <c r="F207" s="134">
        <v>45751</v>
      </c>
      <c r="G207" s="121" t="s">
        <v>130</v>
      </c>
      <c r="H207" s="39" t="str">
        <f>_xlfn.XLOOKUP(Table6[[#This Row],[Affected WTG]],'Basic Data'!$A:$A,'Basic Data'!$B:$B)</f>
        <v>PWEGPL</v>
      </c>
      <c r="I207" s="39" t="str">
        <f>_xlfn.XLOOKUP(Table6[[#This Row],[Affected WTG]],'Basic Data'!$A:$A,'Basic Data'!$C:$C)</f>
        <v>MSEDCL</v>
      </c>
      <c r="J207" s="363">
        <f>IFERROR(VLOOKUP(Table6[[#This Row],[Affected WTG]],'Basic Data'!$A$3:$E$56,5,0),"")</f>
        <v>2.564102564102564E-2</v>
      </c>
      <c r="K207" s="121">
        <v>5248</v>
      </c>
      <c r="L207" s="39" t="str">
        <f>IFERROR(VLOOKUP(Table6[[#This Row],[Error Code]],'Basic Data'!$T:$U,2,0),"")</f>
        <v>Active Crowbar IGBT Errors</v>
      </c>
      <c r="M207" s="364" t="s">
        <v>462</v>
      </c>
      <c r="O207" s="365">
        <v>0.59027777777777779</v>
      </c>
      <c r="P207" s="365">
        <v>0.59027777777777779</v>
      </c>
      <c r="Q207" s="365">
        <v>0.99930555555555556</v>
      </c>
      <c r="R207" s="366">
        <f>IF(Table6[[#This Row],[Work Start TimeStamp]]="","",(Table6[[#This Row],[Work Start TimeStamp]]-Table6[[#This Row],[Fault Start TimeStamp]])*24)</f>
        <v>0</v>
      </c>
      <c r="S207" s="367">
        <f>(Table6[[#This Row],[Fault Clearance time]]-Table6[[#This Row],[Work Start TimeStamp]])*24</f>
        <v>9.8166666666666664</v>
      </c>
      <c r="T207" s="368">
        <f>(Table6[[#This Row],[Fault Clearance time]]-Table6[[#This Row],[Fault Start TimeStamp]])*24</f>
        <v>9.8166666666666664</v>
      </c>
      <c r="U207" s="364" t="s">
        <v>500</v>
      </c>
      <c r="V207" s="369" t="s">
        <v>473</v>
      </c>
      <c r="W207" s="354">
        <f>Table6[[#This Row],[Breakdown Time]]*(1/39)</f>
        <v>0.2517094017094017</v>
      </c>
      <c r="X207" s="352" t="s">
        <v>465</v>
      </c>
      <c r="Y207" s="370" t="s">
        <v>131</v>
      </c>
      <c r="Z207" s="121">
        <v>5176</v>
      </c>
      <c r="AA207" s="123">
        <v>2117.1277777777777</v>
      </c>
      <c r="AB207" s="121" t="s">
        <v>478</v>
      </c>
    </row>
    <row r="208" spans="1:28">
      <c r="A208" s="121">
        <f t="shared" si="3"/>
        <v>207</v>
      </c>
      <c r="B208" s="123">
        <f>YEAR(Table6[[#This Row],[Date]])+IF(MONTH(Table6[[#This Row],[Date]])&gt;=4,1,0)</f>
        <v>2026</v>
      </c>
      <c r="C208" s="121">
        <f>YEAR(Table6[[#This Row],[Date]])</f>
        <v>2025</v>
      </c>
      <c r="D208" s="121" t="s">
        <v>490</v>
      </c>
      <c r="E208" s="135">
        <f>Table6[[#This Row],[Date]]-DAY(Table6[[#This Row],[Date]])+1</f>
        <v>45748</v>
      </c>
      <c r="F208" s="134">
        <v>45751</v>
      </c>
      <c r="G208" s="121" t="s">
        <v>137</v>
      </c>
      <c r="H208" s="39" t="str">
        <f>_xlfn.XLOOKUP(Table6[[#This Row],[Affected WTG]],'Basic Data'!$A:$A,'Basic Data'!$B:$B)</f>
        <v>PWEGPL</v>
      </c>
      <c r="I208" s="39" t="str">
        <f>_xlfn.XLOOKUP(Table6[[#This Row],[Affected WTG]],'Basic Data'!$A:$A,'Basic Data'!$C:$C)</f>
        <v>MSEDCL</v>
      </c>
      <c r="J208" s="363">
        <f>IFERROR(VLOOKUP(Table6[[#This Row],[Affected WTG]],'Basic Data'!$A$3:$E$56,5,0),"")</f>
        <v>2.564102564102564E-2</v>
      </c>
      <c r="K208" s="121">
        <v>2118</v>
      </c>
      <c r="L208" s="39" t="str">
        <f>IFERROR(VLOOKUP(Table6[[#This Row],[Error Code]],'Basic Data'!$T:$U,2,0),"")</f>
        <v>Bus Error - Interbus Failure</v>
      </c>
      <c r="M208" s="364" t="s">
        <v>462</v>
      </c>
      <c r="O208" s="365">
        <v>2.9861111111111113E-2</v>
      </c>
      <c r="P208" s="365">
        <v>2.9861111111111113E-2</v>
      </c>
      <c r="Q208" s="365">
        <v>4.5138888888888888E-2</v>
      </c>
      <c r="R208" s="366">
        <f>IF(Table6[[#This Row],[Work Start TimeStamp]]="","",(Table6[[#This Row],[Work Start TimeStamp]]-Table6[[#This Row],[Fault Start TimeStamp]])*24)</f>
        <v>0</v>
      </c>
      <c r="S208" s="367">
        <f>(Table6[[#This Row],[Fault Clearance time]]-Table6[[#This Row],[Work Start TimeStamp]])*24</f>
        <v>0.36666666666666659</v>
      </c>
      <c r="T208" s="368">
        <f>(Table6[[#This Row],[Fault Clearance time]]-Table6[[#This Row],[Fault Start TimeStamp]])*24</f>
        <v>0.36666666666666659</v>
      </c>
      <c r="U208" s="364" t="s">
        <v>493</v>
      </c>
      <c r="V208" s="369" t="s">
        <v>463</v>
      </c>
      <c r="W208" s="354">
        <f>Table6[[#This Row],[Breakdown Time]]*(1/39)</f>
        <v>9.4017094017093995E-3</v>
      </c>
      <c r="X208" s="352" t="s">
        <v>465</v>
      </c>
      <c r="Y208" s="370" t="s">
        <v>119</v>
      </c>
      <c r="Z208" s="121">
        <v>4908</v>
      </c>
      <c r="AA208" s="123">
        <v>74.98333333333332</v>
      </c>
      <c r="AB208" s="121" t="s">
        <v>478</v>
      </c>
    </row>
    <row r="209" spans="1:28">
      <c r="A209" s="121">
        <f t="shared" si="3"/>
        <v>208</v>
      </c>
      <c r="B209" s="123">
        <f>YEAR(Table6[[#This Row],[Date]])+IF(MONTH(Table6[[#This Row],[Date]])&gt;=4,1,0)</f>
        <v>2026</v>
      </c>
      <c r="C209" s="121">
        <f>YEAR(Table6[[#This Row],[Date]])</f>
        <v>2025</v>
      </c>
      <c r="D209" s="121" t="s">
        <v>490</v>
      </c>
      <c r="E209" s="135">
        <f>Table6[[#This Row],[Date]]-DAY(Table6[[#This Row],[Date]])+1</f>
        <v>45748</v>
      </c>
      <c r="F209" s="134">
        <v>45751</v>
      </c>
      <c r="G209" s="121" t="s">
        <v>138</v>
      </c>
      <c r="H209" s="39" t="str">
        <f>_xlfn.XLOOKUP(Table6[[#This Row],[Affected WTG]],'Basic Data'!$A:$A,'Basic Data'!$B:$B)</f>
        <v>PWEGPL</v>
      </c>
      <c r="I209" s="39" t="str">
        <f>_xlfn.XLOOKUP(Table6[[#This Row],[Affected WTG]],'Basic Data'!$A:$A,'Basic Data'!$C:$C)</f>
        <v>MSEDCL</v>
      </c>
      <c r="J209" s="363">
        <f>IFERROR(VLOOKUP(Table6[[#This Row],[Affected WTG]],'Basic Data'!$A$3:$E$56,5,0),"")</f>
        <v>2.564102564102564E-2</v>
      </c>
      <c r="K209" s="121">
        <v>205</v>
      </c>
      <c r="L209" s="39" t="str">
        <f>IFERROR(VLOOKUP(Table6[[#This Row],[Error Code]],'Basic Data'!$T:$U,2,0),"")</f>
        <v>Low Level Hydraulic Group Refrigeration Oil</v>
      </c>
      <c r="M209" s="364" t="s">
        <v>462</v>
      </c>
      <c r="O209" s="365">
        <v>0.41875000000000001</v>
      </c>
      <c r="P209" s="365">
        <v>0.41875000000000001</v>
      </c>
      <c r="Q209" s="365">
        <v>0.4513888888888889</v>
      </c>
      <c r="R209" s="366">
        <f>IF(Table6[[#This Row],[Work Start TimeStamp]]="","",(Table6[[#This Row],[Work Start TimeStamp]]-Table6[[#This Row],[Fault Start TimeStamp]])*24)</f>
        <v>0</v>
      </c>
      <c r="S209" s="367">
        <f>(Table6[[#This Row],[Fault Clearance time]]-Table6[[#This Row],[Work Start TimeStamp]])*24</f>
        <v>0.78333333333333321</v>
      </c>
      <c r="T209" s="368">
        <f>(Table6[[#This Row],[Fault Clearance time]]-Table6[[#This Row],[Fault Start TimeStamp]])*24</f>
        <v>0.78333333333333321</v>
      </c>
      <c r="U209" s="364" t="s">
        <v>493</v>
      </c>
      <c r="V209" s="369" t="s">
        <v>463</v>
      </c>
      <c r="W209" s="354">
        <f>Table6[[#This Row],[Breakdown Time]]*(1/39)</f>
        <v>2.008547008547008E-2</v>
      </c>
      <c r="X209" s="352" t="s">
        <v>465</v>
      </c>
      <c r="Y209" s="370" t="s">
        <v>140</v>
      </c>
      <c r="Z209" s="121">
        <v>4378</v>
      </c>
      <c r="AA209" s="123">
        <v>142.89305555555552</v>
      </c>
      <c r="AB209" s="121" t="s">
        <v>478</v>
      </c>
    </row>
    <row r="210" spans="1:28">
      <c r="A210" s="121">
        <f t="shared" si="3"/>
        <v>209</v>
      </c>
      <c r="B210" s="123">
        <f>YEAR(Table6[[#This Row],[Date]])+IF(MONTH(Table6[[#This Row],[Date]])&gt;=4,1,0)</f>
        <v>2026</v>
      </c>
      <c r="C210" s="121">
        <f>YEAR(Table6[[#This Row],[Date]])</f>
        <v>2025</v>
      </c>
      <c r="D210" s="121" t="s">
        <v>490</v>
      </c>
      <c r="E210" s="135">
        <f>Table6[[#This Row],[Date]]-DAY(Table6[[#This Row],[Date]])+1</f>
        <v>45748</v>
      </c>
      <c r="F210" s="134">
        <v>45751</v>
      </c>
      <c r="G210" s="121" t="s">
        <v>147</v>
      </c>
      <c r="H210" s="39" t="str">
        <f>_xlfn.XLOOKUP(Table6[[#This Row],[Affected WTG]],'Basic Data'!$A:$A,'Basic Data'!$B:$B)</f>
        <v>PWEGPL</v>
      </c>
      <c r="I210" s="39" t="str">
        <f>_xlfn.XLOOKUP(Table6[[#This Row],[Affected WTG]],'Basic Data'!$A:$A,'Basic Data'!$C:$C)</f>
        <v>MSEDCL</v>
      </c>
      <c r="J210" s="363">
        <f>IFERROR(VLOOKUP(Table6[[#This Row],[Affected WTG]],'Basic Data'!$A$3:$E$56,5,0),"")</f>
        <v>2.564102564102564E-2</v>
      </c>
      <c r="K210" s="121">
        <v>5201</v>
      </c>
      <c r="L210" s="39" t="str">
        <f>IFERROR(VLOOKUP(Table6[[#This Row],[Error Code]],'Basic Data'!$T:$U,2,0),"")</f>
        <v>Magnetothermic Trigger Of The Stator Protection</v>
      </c>
      <c r="M210" s="364" t="s">
        <v>462</v>
      </c>
      <c r="O210" s="365">
        <v>0</v>
      </c>
      <c r="P210" s="365">
        <v>0.25277777777777777</v>
      </c>
      <c r="Q210" s="365">
        <v>0.25277777777777777</v>
      </c>
      <c r="R210" s="366">
        <f>IF(Table6[[#This Row],[Work Start TimeStamp]]="","",(Table6[[#This Row],[Work Start TimeStamp]]-Table6[[#This Row],[Fault Start TimeStamp]])*24)</f>
        <v>6.0666666666666664</v>
      </c>
      <c r="S210" s="367">
        <f>(Table6[[#This Row],[Fault Clearance time]]-Table6[[#This Row],[Work Start TimeStamp]])*24</f>
        <v>0</v>
      </c>
      <c r="T210" s="368">
        <f>(Table6[[#This Row],[Fault Clearance time]]-Table6[[#This Row],[Fault Start TimeStamp]])*24</f>
        <v>6.0666666666666664</v>
      </c>
      <c r="U210" s="364" t="s">
        <v>493</v>
      </c>
      <c r="V210" s="369" t="s">
        <v>463</v>
      </c>
      <c r="W210" s="354">
        <f>Table6[[#This Row],[Breakdown Time]]*(1/39)</f>
        <v>0.15555555555555553</v>
      </c>
      <c r="X210" s="352" t="s">
        <v>465</v>
      </c>
      <c r="Y210" s="370" t="s">
        <v>146</v>
      </c>
      <c r="Z210" s="121">
        <v>4113</v>
      </c>
      <c r="AA210" s="123">
        <v>1039.675</v>
      </c>
      <c r="AB210" s="121" t="s">
        <v>478</v>
      </c>
    </row>
    <row r="211" spans="1:28">
      <c r="A211" s="121">
        <f t="shared" si="3"/>
        <v>210</v>
      </c>
      <c r="B211" s="123">
        <f>YEAR(Table6[[#This Row],[Date]])+IF(MONTH(Table6[[#This Row],[Date]])&gt;=4,1,0)</f>
        <v>2026</v>
      </c>
      <c r="C211" s="121">
        <f>YEAR(Table6[[#This Row],[Date]])</f>
        <v>2025</v>
      </c>
      <c r="D211" s="121" t="s">
        <v>490</v>
      </c>
      <c r="E211" s="135">
        <f>Table6[[#This Row],[Date]]-DAY(Table6[[#This Row],[Date]])+1</f>
        <v>45748</v>
      </c>
      <c r="F211" s="134">
        <v>45752</v>
      </c>
      <c r="G211" s="121" t="s">
        <v>144</v>
      </c>
      <c r="H211" s="39" t="str">
        <f>_xlfn.XLOOKUP(Table6[[#This Row],[Affected WTG]],'Basic Data'!$A:$A,'Basic Data'!$B:$B)</f>
        <v>PWEGPL</v>
      </c>
      <c r="I211" s="39" t="str">
        <f>_xlfn.XLOOKUP(Table6[[#This Row],[Affected WTG]],'Basic Data'!$A:$A,'Basic Data'!$C:$C)</f>
        <v>MSEDCL</v>
      </c>
      <c r="J211" s="363">
        <f>IFERROR(VLOOKUP(Table6[[#This Row],[Affected WTG]],'Basic Data'!$A$3:$E$56,5,0),"")</f>
        <v>2.564102564102564E-2</v>
      </c>
      <c r="K211" s="121" t="s">
        <v>492</v>
      </c>
      <c r="L211" s="39" t="str">
        <f>IFERROR(VLOOKUP(Table6[[#This Row],[Error Code]],'Basic Data'!$T:$U,2,0),"")</f>
        <v>Manual Stop - Safety Related</v>
      </c>
      <c r="M211" s="364" t="s">
        <v>481</v>
      </c>
      <c r="O211" s="365">
        <v>0</v>
      </c>
      <c r="P211" s="365">
        <v>0.99930555555555556</v>
      </c>
      <c r="Q211" s="365">
        <v>0.99930555555555556</v>
      </c>
      <c r="R211" s="366">
        <f>IF(Table6[[#This Row],[Work Start TimeStamp]]="","",(Table6[[#This Row],[Work Start TimeStamp]]-Table6[[#This Row],[Fault Start TimeStamp]])*24)</f>
        <v>23.983333333333334</v>
      </c>
      <c r="S211" s="367">
        <f>(Table6[[#This Row],[Fault Clearance time]]-Table6[[#This Row],[Work Start TimeStamp]])*24</f>
        <v>0</v>
      </c>
      <c r="T211" s="368">
        <f>(Table6[[#This Row],[Fault Clearance time]]-Table6[[#This Row],[Fault Start TimeStamp]])*24</f>
        <v>23.983333333333334</v>
      </c>
      <c r="U211" s="364" t="s">
        <v>498</v>
      </c>
      <c r="V211" s="369" t="s">
        <v>473</v>
      </c>
      <c r="W211" s="354">
        <f>Table6[[#This Row],[Breakdown Time]]*(1/39)</f>
        <v>0.61495726495726499</v>
      </c>
      <c r="X211" s="352" t="s">
        <v>468</v>
      </c>
      <c r="Y211" s="370" t="s">
        <v>141</v>
      </c>
      <c r="Z211" s="121">
        <v>2572</v>
      </c>
      <c r="AA211" s="123">
        <v>2570.213888888889</v>
      </c>
      <c r="AB211" s="121" t="s">
        <v>478</v>
      </c>
    </row>
    <row r="212" spans="1:28">
      <c r="A212" s="121">
        <f t="shared" si="3"/>
        <v>211</v>
      </c>
      <c r="B212" s="123">
        <f>YEAR(Table6[[#This Row],[Date]])+IF(MONTH(Table6[[#This Row],[Date]])&gt;=4,1,0)</f>
        <v>2026</v>
      </c>
      <c r="C212" s="121">
        <f>YEAR(Table6[[#This Row],[Date]])</f>
        <v>2025</v>
      </c>
      <c r="D212" s="121" t="s">
        <v>490</v>
      </c>
      <c r="E212" s="135">
        <f>Table6[[#This Row],[Date]]-DAY(Table6[[#This Row],[Date]])+1</f>
        <v>45748</v>
      </c>
      <c r="F212" s="134">
        <v>45752</v>
      </c>
      <c r="G212" s="121" t="s">
        <v>142</v>
      </c>
      <c r="H212" s="39" t="str">
        <f>_xlfn.XLOOKUP(Table6[[#This Row],[Affected WTG]],'Basic Data'!$A:$A,'Basic Data'!$B:$B)</f>
        <v>PWEGPL</v>
      </c>
      <c r="I212" s="39" t="str">
        <f>_xlfn.XLOOKUP(Table6[[#This Row],[Affected WTG]],'Basic Data'!$A:$A,'Basic Data'!$C:$C)</f>
        <v>MSEDCL</v>
      </c>
      <c r="J212" s="363">
        <f>IFERROR(VLOOKUP(Table6[[#This Row],[Affected WTG]],'Basic Data'!$A$3:$E$56,5,0),"")</f>
        <v>2.564102564102564E-2</v>
      </c>
      <c r="K212" s="121" t="s">
        <v>492</v>
      </c>
      <c r="L212" s="39" t="str">
        <f>IFERROR(VLOOKUP(Table6[[#This Row],[Error Code]],'Basic Data'!$T:$U,2,0),"")</f>
        <v>Manual Stop - Safety Related</v>
      </c>
      <c r="M212" s="364" t="s">
        <v>481</v>
      </c>
      <c r="O212" s="365">
        <v>0</v>
      </c>
      <c r="P212" s="365">
        <v>0.99930555555555556</v>
      </c>
      <c r="Q212" s="365">
        <v>0.99930555555555556</v>
      </c>
      <c r="R212" s="366">
        <f>IF(Table6[[#This Row],[Work Start TimeStamp]]="","",(Table6[[#This Row],[Work Start TimeStamp]]-Table6[[#This Row],[Fault Start TimeStamp]])*24)</f>
        <v>23.983333333333334</v>
      </c>
      <c r="S212" s="367">
        <f>(Table6[[#This Row],[Fault Clearance time]]-Table6[[#This Row],[Work Start TimeStamp]])*24</f>
        <v>0</v>
      </c>
      <c r="T212" s="368">
        <f>(Table6[[#This Row],[Fault Clearance time]]-Table6[[#This Row],[Fault Start TimeStamp]])*24</f>
        <v>23.983333333333334</v>
      </c>
      <c r="U212" s="364" t="s">
        <v>498</v>
      </c>
      <c r="V212" s="369" t="s">
        <v>473</v>
      </c>
      <c r="W212" s="354">
        <f>Table6[[#This Row],[Breakdown Time]]*(1/39)</f>
        <v>0.61495726495726499</v>
      </c>
      <c r="X212" s="352" t="s">
        <v>468</v>
      </c>
      <c r="Y212" s="370" t="s">
        <v>141</v>
      </c>
      <c r="Z212" s="121">
        <v>2572</v>
      </c>
      <c r="AA212" s="123">
        <v>2570.213888888889</v>
      </c>
      <c r="AB212" s="121" t="s">
        <v>478</v>
      </c>
    </row>
    <row r="213" spans="1:28">
      <c r="A213" s="121">
        <f t="shared" si="3"/>
        <v>212</v>
      </c>
      <c r="B213" s="123">
        <f>YEAR(Table6[[#This Row],[Date]])+IF(MONTH(Table6[[#This Row],[Date]])&gt;=4,1,0)</f>
        <v>2026</v>
      </c>
      <c r="C213" s="121">
        <f>YEAR(Table6[[#This Row],[Date]])</f>
        <v>2025</v>
      </c>
      <c r="D213" s="121" t="s">
        <v>490</v>
      </c>
      <c r="E213" s="135">
        <f>Table6[[#This Row],[Date]]-DAY(Table6[[#This Row],[Date]])+1</f>
        <v>45748</v>
      </c>
      <c r="F213" s="134">
        <v>45752</v>
      </c>
      <c r="G213" s="121" t="s">
        <v>118</v>
      </c>
      <c r="H213" s="39" t="str">
        <f>_xlfn.XLOOKUP(Table6[[#This Row],[Affected WTG]],'Basic Data'!$A:$A,'Basic Data'!$B:$B)</f>
        <v>PWEGPL</v>
      </c>
      <c r="I213" s="39" t="str">
        <f>_xlfn.XLOOKUP(Table6[[#This Row],[Affected WTG]],'Basic Data'!$A:$A,'Basic Data'!$C:$C)</f>
        <v>MSEDCL</v>
      </c>
      <c r="J213" s="363">
        <f>IFERROR(VLOOKUP(Table6[[#This Row],[Affected WTG]],'Basic Data'!$A$3:$E$56,5,0),"")</f>
        <v>2.564102564102564E-2</v>
      </c>
      <c r="K213" s="121">
        <v>5200</v>
      </c>
      <c r="L213" s="39" t="str">
        <f>IFERROR(VLOOKUP(Table6[[#This Row],[Error Code]],'Basic Data'!$T:$U,2,0),"")</f>
        <v>Magnetothermic Trigger Of The Line Protection</v>
      </c>
      <c r="M213" s="364" t="s">
        <v>462</v>
      </c>
      <c r="O213" s="365">
        <v>0.47361111111111109</v>
      </c>
      <c r="P213" s="365">
        <v>0.47361111111111109</v>
      </c>
      <c r="Q213" s="365">
        <v>0.48472222222222222</v>
      </c>
      <c r="R213" s="366">
        <f>IF(Table6[[#This Row],[Work Start TimeStamp]]="","",(Table6[[#This Row],[Work Start TimeStamp]]-Table6[[#This Row],[Fault Start TimeStamp]])*24)</f>
        <v>0</v>
      </c>
      <c r="S213" s="367">
        <f>(Table6[[#This Row],[Fault Clearance time]]-Table6[[#This Row],[Work Start TimeStamp]])*24</f>
        <v>0.26666666666666705</v>
      </c>
      <c r="T213" s="368">
        <f>(Table6[[#This Row],[Fault Clearance time]]-Table6[[#This Row],[Fault Start TimeStamp]])*24</f>
        <v>0.26666666666666705</v>
      </c>
      <c r="U213" s="364" t="s">
        <v>493</v>
      </c>
      <c r="V213" s="369" t="s">
        <v>463</v>
      </c>
      <c r="W213" s="354">
        <f>Table6[[#This Row],[Breakdown Time]]*(1/39)</f>
        <v>6.8376068376068471E-3</v>
      </c>
      <c r="X213" s="352" t="s">
        <v>465</v>
      </c>
      <c r="Y213" s="370" t="s">
        <v>117</v>
      </c>
      <c r="Z213" s="121">
        <v>1912</v>
      </c>
      <c r="AA213" s="123">
        <v>21.244444444444476</v>
      </c>
      <c r="AB213" s="121" t="s">
        <v>478</v>
      </c>
    </row>
    <row r="214" spans="1:28">
      <c r="A214" s="121">
        <f t="shared" si="3"/>
        <v>213</v>
      </c>
      <c r="B214" s="123">
        <f>YEAR(Table6[[#This Row],[Date]])+IF(MONTH(Table6[[#This Row],[Date]])&gt;=4,1,0)</f>
        <v>2026</v>
      </c>
      <c r="C214" s="121">
        <f>YEAR(Table6[[#This Row],[Date]])</f>
        <v>2025</v>
      </c>
      <c r="D214" s="121" t="s">
        <v>490</v>
      </c>
      <c r="E214" s="135">
        <f>Table6[[#This Row],[Date]]-DAY(Table6[[#This Row],[Date]])+1</f>
        <v>45748</v>
      </c>
      <c r="F214" s="134">
        <v>45752</v>
      </c>
      <c r="G214" s="121" t="s">
        <v>118</v>
      </c>
      <c r="H214" s="39" t="str">
        <f>_xlfn.XLOOKUP(Table6[[#This Row],[Affected WTG]],'Basic Data'!$A:$A,'Basic Data'!$B:$B)</f>
        <v>PWEGPL</v>
      </c>
      <c r="I214" s="39" t="str">
        <f>_xlfn.XLOOKUP(Table6[[#This Row],[Affected WTG]],'Basic Data'!$A:$A,'Basic Data'!$C:$C)</f>
        <v>MSEDCL</v>
      </c>
      <c r="J214" s="363">
        <f>IFERROR(VLOOKUP(Table6[[#This Row],[Affected WTG]],'Basic Data'!$A$3:$E$56,5,0),"")</f>
        <v>2.564102564102564E-2</v>
      </c>
      <c r="K214" s="121">
        <v>5200</v>
      </c>
      <c r="L214" s="39" t="str">
        <f>IFERROR(VLOOKUP(Table6[[#This Row],[Error Code]],'Basic Data'!$T:$U,2,0),"")</f>
        <v>Magnetothermic Trigger Of The Line Protection</v>
      </c>
      <c r="M214" s="364" t="s">
        <v>462</v>
      </c>
      <c r="O214" s="365">
        <v>0.99513888888888891</v>
      </c>
      <c r="P214" s="365">
        <v>0.99513888888888891</v>
      </c>
      <c r="Q214" s="365">
        <v>0.99791666666666667</v>
      </c>
      <c r="R214" s="366">
        <f>IF(Table6[[#This Row],[Work Start TimeStamp]]="","",(Table6[[#This Row],[Work Start TimeStamp]]-Table6[[#This Row],[Fault Start TimeStamp]])*24)</f>
        <v>0</v>
      </c>
      <c r="S214" s="367">
        <f>(Table6[[#This Row],[Fault Clearance time]]-Table6[[#This Row],[Work Start TimeStamp]])*24</f>
        <v>6.666666666666643E-2</v>
      </c>
      <c r="T214" s="368">
        <f>(Table6[[#This Row],[Fault Clearance time]]-Table6[[#This Row],[Fault Start TimeStamp]])*24</f>
        <v>6.666666666666643E-2</v>
      </c>
      <c r="U214" s="364" t="s">
        <v>480</v>
      </c>
      <c r="V214" s="369" t="s">
        <v>463</v>
      </c>
      <c r="W214" s="354">
        <f>Table6[[#This Row],[Breakdown Time]]*(1/39)</f>
        <v>1.7094017094017033E-3</v>
      </c>
      <c r="X214" s="352" t="s">
        <v>465</v>
      </c>
      <c r="Y214" s="370" t="s">
        <v>117</v>
      </c>
      <c r="Z214" s="121">
        <v>1912</v>
      </c>
      <c r="AA214" s="123">
        <v>5.3111111111110922</v>
      </c>
      <c r="AB214" s="121" t="s">
        <v>478</v>
      </c>
    </row>
    <row r="215" spans="1:28">
      <c r="A215" s="121">
        <f t="shared" si="3"/>
        <v>214</v>
      </c>
      <c r="B215" s="123">
        <f>YEAR(Table6[[#This Row],[Date]])+IF(MONTH(Table6[[#This Row],[Date]])&gt;=4,1,0)</f>
        <v>2026</v>
      </c>
      <c r="C215" s="121">
        <f>YEAR(Table6[[#This Row],[Date]])</f>
        <v>2025</v>
      </c>
      <c r="D215" s="121" t="s">
        <v>490</v>
      </c>
      <c r="E215" s="135">
        <f>Table6[[#This Row],[Date]]-DAY(Table6[[#This Row],[Date]])+1</f>
        <v>45748</v>
      </c>
      <c r="F215" s="134">
        <v>45752</v>
      </c>
      <c r="G215" s="121" t="s">
        <v>125</v>
      </c>
      <c r="H215" s="39" t="str">
        <f>_xlfn.XLOOKUP(Table6[[#This Row],[Affected WTG]],'Basic Data'!$A:$A,'Basic Data'!$B:$B)</f>
        <v>PWEGPL</v>
      </c>
      <c r="I215" s="39" t="str">
        <f>_xlfn.XLOOKUP(Table6[[#This Row],[Affected WTG]],'Basic Data'!$A:$A,'Basic Data'!$C:$C)</f>
        <v>MSEDCL</v>
      </c>
      <c r="J215" s="363">
        <f>IFERROR(VLOOKUP(Table6[[#This Row],[Affected WTG]],'Basic Data'!$A$3:$E$56,5,0),"")</f>
        <v>2.564102564102564E-2</v>
      </c>
      <c r="K215" s="121">
        <v>116</v>
      </c>
      <c r="L215" s="39" t="str">
        <f>IFERROR(VLOOKUP(Table6[[#This Row],[Error Code]],'Basic Data'!$T:$U,2,0),"")</f>
        <v>Orienting and High Yaw Brake Pressure</v>
      </c>
      <c r="M215" s="364" t="s">
        <v>462</v>
      </c>
      <c r="O215" s="365">
        <v>0.15694444444444444</v>
      </c>
      <c r="P215" s="365">
        <v>0.15694444444444444</v>
      </c>
      <c r="Q215" s="365">
        <v>0.16041666666666668</v>
      </c>
      <c r="R215" s="366">
        <f>IF(Table6[[#This Row],[Work Start TimeStamp]]="","",(Table6[[#This Row],[Work Start TimeStamp]]-Table6[[#This Row],[Fault Start TimeStamp]])*24)</f>
        <v>0</v>
      </c>
      <c r="S215" s="367">
        <f>(Table6[[#This Row],[Fault Clearance time]]-Table6[[#This Row],[Work Start TimeStamp]])*24</f>
        <v>8.3333333333333703E-2</v>
      </c>
      <c r="T215" s="368">
        <f>(Table6[[#This Row],[Fault Clearance time]]-Table6[[#This Row],[Fault Start TimeStamp]])*24</f>
        <v>8.3333333333333703E-2</v>
      </c>
      <c r="U215" s="364" t="s">
        <v>480</v>
      </c>
      <c r="V215" s="369" t="s">
        <v>463</v>
      </c>
      <c r="W215" s="354">
        <f>Table6[[#This Row],[Breakdown Time]]*(1/39)</f>
        <v>2.1367521367521461E-3</v>
      </c>
      <c r="X215" s="352" t="s">
        <v>465</v>
      </c>
      <c r="Y215" s="370" t="s">
        <v>124</v>
      </c>
      <c r="Z215" s="121">
        <v>1448</v>
      </c>
      <c r="AA215" s="123">
        <v>5.0277777777777999</v>
      </c>
      <c r="AB215" s="121" t="s">
        <v>478</v>
      </c>
    </row>
    <row r="216" spans="1:28">
      <c r="A216" s="121">
        <f t="shared" si="3"/>
        <v>215</v>
      </c>
      <c r="B216" s="123">
        <f>YEAR(Table6[[#This Row],[Date]])+IF(MONTH(Table6[[#This Row],[Date]])&gt;=4,1,0)</f>
        <v>2026</v>
      </c>
      <c r="C216" s="121">
        <f>YEAR(Table6[[#This Row],[Date]])</f>
        <v>2025</v>
      </c>
      <c r="D216" s="121" t="s">
        <v>490</v>
      </c>
      <c r="E216" s="135">
        <f>Table6[[#This Row],[Date]]-DAY(Table6[[#This Row],[Date]])+1</f>
        <v>45748</v>
      </c>
      <c r="F216" s="134">
        <v>45752</v>
      </c>
      <c r="G216" s="121" t="s">
        <v>125</v>
      </c>
      <c r="H216" s="39" t="str">
        <f>_xlfn.XLOOKUP(Table6[[#This Row],[Affected WTG]],'Basic Data'!$A:$A,'Basic Data'!$B:$B)</f>
        <v>PWEGPL</v>
      </c>
      <c r="I216" s="39" t="str">
        <f>_xlfn.XLOOKUP(Table6[[#This Row],[Affected WTG]],'Basic Data'!$A:$A,'Basic Data'!$C:$C)</f>
        <v>MSEDCL</v>
      </c>
      <c r="J216" s="363">
        <f>IFERROR(VLOOKUP(Table6[[#This Row],[Affected WTG]],'Basic Data'!$A$3:$E$56,5,0),"")</f>
        <v>2.564102564102564E-2</v>
      </c>
      <c r="K216" s="121">
        <v>116</v>
      </c>
      <c r="L216" s="39" t="str">
        <f>IFERROR(VLOOKUP(Table6[[#This Row],[Error Code]],'Basic Data'!$T:$U,2,0),"")</f>
        <v>Orienting and High Yaw Brake Pressure</v>
      </c>
      <c r="M216" s="364" t="s">
        <v>462</v>
      </c>
      <c r="O216" s="365">
        <v>0.52569444444444446</v>
      </c>
      <c r="P216" s="365">
        <v>0.52569444444444446</v>
      </c>
      <c r="Q216" s="365">
        <v>0.52916666666666667</v>
      </c>
      <c r="R216" s="366">
        <f>IF(Table6[[#This Row],[Work Start TimeStamp]]="","",(Table6[[#This Row],[Work Start TimeStamp]]-Table6[[#This Row],[Fault Start TimeStamp]])*24)</f>
        <v>0</v>
      </c>
      <c r="S216" s="367">
        <f>(Table6[[#This Row],[Fault Clearance time]]-Table6[[#This Row],[Work Start TimeStamp]])*24</f>
        <v>8.3333333333333037E-2</v>
      </c>
      <c r="T216" s="368">
        <f>(Table6[[#This Row],[Fault Clearance time]]-Table6[[#This Row],[Fault Start TimeStamp]])*24</f>
        <v>8.3333333333333037E-2</v>
      </c>
      <c r="U216" s="364" t="s">
        <v>480</v>
      </c>
      <c r="V216" s="369" t="s">
        <v>463</v>
      </c>
      <c r="W216" s="354">
        <f>Table6[[#This Row],[Breakdown Time]]*(1/39)</f>
        <v>2.1367521367521292E-3</v>
      </c>
      <c r="X216" s="352" t="s">
        <v>465</v>
      </c>
      <c r="Y216" s="370" t="s">
        <v>124</v>
      </c>
      <c r="Z216" s="121">
        <v>1448</v>
      </c>
      <c r="AA216" s="123">
        <v>5.0277777777777599</v>
      </c>
      <c r="AB216" s="121" t="s">
        <v>478</v>
      </c>
    </row>
    <row r="217" spans="1:28">
      <c r="A217" s="121">
        <f t="shared" si="3"/>
        <v>216</v>
      </c>
      <c r="B217" s="123">
        <f>YEAR(Table6[[#This Row],[Date]])+IF(MONTH(Table6[[#This Row],[Date]])&gt;=4,1,0)</f>
        <v>2026</v>
      </c>
      <c r="C217" s="121">
        <f>YEAR(Table6[[#This Row],[Date]])</f>
        <v>2025</v>
      </c>
      <c r="D217" s="121" t="s">
        <v>490</v>
      </c>
      <c r="E217" s="135">
        <f>Table6[[#This Row],[Date]]-DAY(Table6[[#This Row],[Date]])+1</f>
        <v>45748</v>
      </c>
      <c r="F217" s="134">
        <v>45752</v>
      </c>
      <c r="G217" s="121" t="s">
        <v>127</v>
      </c>
      <c r="H217" s="39" t="str">
        <f>_xlfn.XLOOKUP(Table6[[#This Row],[Affected WTG]],'Basic Data'!$A:$A,'Basic Data'!$B:$B)</f>
        <v>PWEGPL</v>
      </c>
      <c r="I217" s="39" t="str">
        <f>_xlfn.XLOOKUP(Table6[[#This Row],[Affected WTG]],'Basic Data'!$A:$A,'Basic Data'!$C:$C)</f>
        <v>MSEDCL</v>
      </c>
      <c r="J217" s="363">
        <f>IFERROR(VLOOKUP(Table6[[#This Row],[Affected WTG]],'Basic Data'!$A$3:$E$56,5,0),"")</f>
        <v>2.564102564102564E-2</v>
      </c>
      <c r="K217" s="121">
        <v>550</v>
      </c>
      <c r="L217" s="39" t="str">
        <f>IFERROR(VLOOKUP(Table6[[#This Row],[Error Code]],'Basic Data'!$T:$U,2,0),"")</f>
        <v>Generator Fans Thermal Relay Triggered Too Long</v>
      </c>
      <c r="M217" s="364" t="s">
        <v>462</v>
      </c>
      <c r="O217" s="365">
        <v>0.74097222222222225</v>
      </c>
      <c r="P217" s="365">
        <v>0.75763888888888886</v>
      </c>
      <c r="Q217" s="365">
        <v>0.76111111111111107</v>
      </c>
      <c r="R217" s="366">
        <f>IF(Table6[[#This Row],[Work Start TimeStamp]]="","",(Table6[[#This Row],[Work Start TimeStamp]]-Table6[[#This Row],[Fault Start TimeStamp]])*24)</f>
        <v>0.39999999999999858</v>
      </c>
      <c r="S217" s="367">
        <f>(Table6[[#This Row],[Fault Clearance time]]-Table6[[#This Row],[Work Start TimeStamp]])*24</f>
        <v>8.3333333333333037E-2</v>
      </c>
      <c r="T217" s="368">
        <f>(Table6[[#This Row],[Fault Clearance time]]-Table6[[#This Row],[Fault Start TimeStamp]])*24</f>
        <v>0.48333333333333162</v>
      </c>
      <c r="U217" s="364" t="s">
        <v>491</v>
      </c>
      <c r="V217" s="369" t="s">
        <v>463</v>
      </c>
      <c r="W217" s="354">
        <f>Table6[[#This Row],[Breakdown Time]]*(1/39)</f>
        <v>1.2393162393162349E-2</v>
      </c>
      <c r="X217" s="352" t="s">
        <v>465</v>
      </c>
      <c r="Y217" s="370" t="s">
        <v>128</v>
      </c>
      <c r="Z217" s="121">
        <v>1700</v>
      </c>
      <c r="AA217" s="123">
        <v>34.236111111110986</v>
      </c>
      <c r="AB217" s="121" t="s">
        <v>478</v>
      </c>
    </row>
    <row r="218" spans="1:28">
      <c r="A218" s="121">
        <f t="shared" si="3"/>
        <v>217</v>
      </c>
      <c r="B218" s="123">
        <f>YEAR(Table6[[#This Row],[Date]])+IF(MONTH(Table6[[#This Row],[Date]])&gt;=4,1,0)</f>
        <v>2026</v>
      </c>
      <c r="C218" s="121">
        <f>YEAR(Table6[[#This Row],[Date]])</f>
        <v>2025</v>
      </c>
      <c r="D218" s="121" t="s">
        <v>490</v>
      </c>
      <c r="E218" s="135">
        <f>Table6[[#This Row],[Date]]-DAY(Table6[[#This Row],[Date]])+1</f>
        <v>45748</v>
      </c>
      <c r="F218" s="134">
        <v>45752</v>
      </c>
      <c r="G218" s="121" t="s">
        <v>136</v>
      </c>
      <c r="H218" s="39" t="str">
        <f>_xlfn.XLOOKUP(Table6[[#This Row],[Affected WTG]],'Basic Data'!$A:$A,'Basic Data'!$B:$B)</f>
        <v>PWEGPL</v>
      </c>
      <c r="I218" s="39" t="str">
        <f>_xlfn.XLOOKUP(Table6[[#This Row],[Affected WTG]],'Basic Data'!$A:$A,'Basic Data'!$C:$C)</f>
        <v>MSEDCL</v>
      </c>
      <c r="J218" s="363">
        <f>IFERROR(VLOOKUP(Table6[[#This Row],[Affected WTG]],'Basic Data'!$A$3:$E$56,5,0),"")</f>
        <v>2.564102564102564E-2</v>
      </c>
      <c r="K218" s="121">
        <v>800</v>
      </c>
      <c r="L218" s="39" t="str">
        <f>IFERROR(VLOOKUP(Table6[[#This Row],[Error Code]],'Basic Data'!$T:$U,2,0),"")</f>
        <v>Pitch Drive Error</v>
      </c>
      <c r="M218" s="364" t="s">
        <v>462</v>
      </c>
      <c r="O218" s="365">
        <v>0.68263888888888891</v>
      </c>
      <c r="P218" s="365">
        <v>0.68263888888888891</v>
      </c>
      <c r="Q218" s="365">
        <v>0.68611111111111112</v>
      </c>
      <c r="R218" s="366">
        <f>IF(Table6[[#This Row],[Work Start TimeStamp]]="","",(Table6[[#This Row],[Work Start TimeStamp]]-Table6[[#This Row],[Fault Start TimeStamp]])*24)</f>
        <v>0</v>
      </c>
      <c r="S218" s="367">
        <f>(Table6[[#This Row],[Fault Clearance time]]-Table6[[#This Row],[Work Start TimeStamp]])*24</f>
        <v>8.3333333333333037E-2</v>
      </c>
      <c r="T218" s="368">
        <f>(Table6[[#This Row],[Fault Clearance time]]-Table6[[#This Row],[Fault Start TimeStamp]])*24</f>
        <v>8.3333333333333037E-2</v>
      </c>
      <c r="U218" s="364" t="s">
        <v>480</v>
      </c>
      <c r="V218" s="369" t="s">
        <v>463</v>
      </c>
      <c r="W218" s="354">
        <f>Table6[[#This Row],[Breakdown Time]]*(1/39)</f>
        <v>2.1367521367521292E-3</v>
      </c>
      <c r="X218" s="352" t="s">
        <v>465</v>
      </c>
      <c r="Y218" s="370" t="s">
        <v>135</v>
      </c>
      <c r="Z218" s="121">
        <v>2750</v>
      </c>
      <c r="AA218" s="123">
        <v>9.548611111111077</v>
      </c>
      <c r="AB218" s="121" t="s">
        <v>478</v>
      </c>
    </row>
    <row r="219" spans="1:28">
      <c r="A219" s="121">
        <f t="shared" si="3"/>
        <v>218</v>
      </c>
      <c r="B219" s="123">
        <f>YEAR(Table6[[#This Row],[Date]])+IF(MONTH(Table6[[#This Row],[Date]])&gt;=4,1,0)</f>
        <v>2026</v>
      </c>
      <c r="C219" s="121">
        <f>YEAR(Table6[[#This Row],[Date]])</f>
        <v>2025</v>
      </c>
      <c r="D219" s="121" t="s">
        <v>490</v>
      </c>
      <c r="E219" s="135">
        <f>Table6[[#This Row],[Date]]-DAY(Table6[[#This Row],[Date]])+1</f>
        <v>45748</v>
      </c>
      <c r="F219" s="134">
        <v>45752</v>
      </c>
      <c r="G219" s="121" t="s">
        <v>146</v>
      </c>
      <c r="H219" s="39" t="str">
        <f>_xlfn.XLOOKUP(Table6[[#This Row],[Affected WTG]],'Basic Data'!$A:$A,'Basic Data'!$B:$B)</f>
        <v>PWEGPL</v>
      </c>
      <c r="I219" s="39" t="str">
        <f>_xlfn.XLOOKUP(Table6[[#This Row],[Affected WTG]],'Basic Data'!$A:$A,'Basic Data'!$C:$C)</f>
        <v>MSEDCL</v>
      </c>
      <c r="J219" s="363">
        <f>IFERROR(VLOOKUP(Table6[[#This Row],[Affected WTG]],'Basic Data'!$A$3:$E$56,5,0),"")</f>
        <v>2.564102564102564E-2</v>
      </c>
      <c r="K219" s="121" t="s">
        <v>492</v>
      </c>
      <c r="L219" s="39" t="str">
        <f>IFERROR(VLOOKUP(Table6[[#This Row],[Error Code]],'Basic Data'!$T:$U,2,0),"")</f>
        <v>Manual Stop - Safety Related</v>
      </c>
      <c r="M219" s="364" t="s">
        <v>481</v>
      </c>
      <c r="O219" s="365">
        <v>0.4861111111111111</v>
      </c>
      <c r="P219" s="365">
        <v>0.4861111111111111</v>
      </c>
      <c r="Q219" s="365">
        <v>0.69305555555555554</v>
      </c>
      <c r="R219" s="366">
        <f>IF(Table6[[#This Row],[Work Start TimeStamp]]="","",(Table6[[#This Row],[Work Start TimeStamp]]-Table6[[#This Row],[Fault Start TimeStamp]])*24)</f>
        <v>0</v>
      </c>
      <c r="S219" s="367">
        <f>(Table6[[#This Row],[Fault Clearance time]]-Table6[[#This Row],[Work Start TimeStamp]])*24</f>
        <v>4.9666666666666668</v>
      </c>
      <c r="T219" s="368">
        <f>(Table6[[#This Row],[Fault Clearance time]]-Table6[[#This Row],[Fault Start TimeStamp]])*24</f>
        <v>4.9666666666666668</v>
      </c>
      <c r="U219" s="364" t="s">
        <v>534</v>
      </c>
      <c r="V219" s="369" t="s">
        <v>463</v>
      </c>
      <c r="W219" s="354">
        <f>Table6[[#This Row],[Breakdown Time]]*(1/39)</f>
        <v>0.12735042735042734</v>
      </c>
      <c r="X219" s="352" t="s">
        <v>465</v>
      </c>
      <c r="Y219" s="370" t="s">
        <v>147</v>
      </c>
      <c r="Z219" s="121">
        <v>2528</v>
      </c>
      <c r="AA219" s="123">
        <v>523.15555555555557</v>
      </c>
      <c r="AB219" s="121" t="s">
        <v>478</v>
      </c>
    </row>
    <row r="220" spans="1:28">
      <c r="A220" s="121">
        <f t="shared" si="3"/>
        <v>219</v>
      </c>
      <c r="B220" s="123">
        <f>YEAR(Table6[[#This Row],[Date]])+IF(MONTH(Table6[[#This Row],[Date]])&gt;=4,1,0)</f>
        <v>2026</v>
      </c>
      <c r="C220" s="121">
        <f>YEAR(Table6[[#This Row],[Date]])</f>
        <v>2025</v>
      </c>
      <c r="D220" s="121" t="s">
        <v>490</v>
      </c>
      <c r="E220" s="135">
        <f>Table6[[#This Row],[Date]]-DAY(Table6[[#This Row],[Date]])+1</f>
        <v>45748</v>
      </c>
      <c r="F220" s="134">
        <v>45753</v>
      </c>
      <c r="G220" s="121" t="s">
        <v>144</v>
      </c>
      <c r="H220" s="39" t="str">
        <f>_xlfn.XLOOKUP(Table6[[#This Row],[Affected WTG]],'Basic Data'!$A:$A,'Basic Data'!$B:$B)</f>
        <v>PWEGPL</v>
      </c>
      <c r="I220" s="39" t="str">
        <f>_xlfn.XLOOKUP(Table6[[#This Row],[Affected WTG]],'Basic Data'!$A:$A,'Basic Data'!$C:$C)</f>
        <v>MSEDCL</v>
      </c>
      <c r="J220" s="363">
        <f>IFERROR(VLOOKUP(Table6[[#This Row],[Affected WTG]],'Basic Data'!$A$3:$E$56,5,0),"")</f>
        <v>2.564102564102564E-2</v>
      </c>
      <c r="K220" s="121" t="s">
        <v>492</v>
      </c>
      <c r="L220" s="39" t="str">
        <f>IFERROR(VLOOKUP(Table6[[#This Row],[Error Code]],'Basic Data'!$T:$U,2,0),"")</f>
        <v>Manual Stop - Safety Related</v>
      </c>
      <c r="M220" s="364" t="s">
        <v>481</v>
      </c>
      <c r="O220" s="365">
        <v>0</v>
      </c>
      <c r="P220" s="365">
        <v>0.99930555555555556</v>
      </c>
      <c r="Q220" s="365">
        <v>0.99930555555555556</v>
      </c>
      <c r="R220" s="366">
        <f>IF(Table6[[#This Row],[Work Start TimeStamp]]="","",(Table6[[#This Row],[Work Start TimeStamp]]-Table6[[#This Row],[Fault Start TimeStamp]])*24)</f>
        <v>23.983333333333334</v>
      </c>
      <c r="S220" s="367">
        <f>(Table6[[#This Row],[Fault Clearance time]]-Table6[[#This Row],[Work Start TimeStamp]])*24</f>
        <v>0</v>
      </c>
      <c r="T220" s="368">
        <f>(Table6[[#This Row],[Fault Clearance time]]-Table6[[#This Row],[Fault Start TimeStamp]])*24</f>
        <v>23.983333333333334</v>
      </c>
      <c r="U220" s="364" t="s">
        <v>498</v>
      </c>
      <c r="V220" s="369" t="s">
        <v>473</v>
      </c>
      <c r="W220" s="354">
        <f>Table6[[#This Row],[Breakdown Time]]*(1/39)</f>
        <v>0.61495726495726499</v>
      </c>
      <c r="X220" s="352" t="s">
        <v>468</v>
      </c>
      <c r="Y220" s="370" t="s">
        <v>141</v>
      </c>
      <c r="Z220" s="121">
        <v>2824</v>
      </c>
      <c r="AA220" s="123">
        <v>2822.0388888888892</v>
      </c>
      <c r="AB220" s="121" t="s">
        <v>478</v>
      </c>
    </row>
    <row r="221" spans="1:28">
      <c r="A221" s="121">
        <f t="shared" si="3"/>
        <v>220</v>
      </c>
      <c r="B221" s="123">
        <f>YEAR(Table6[[#This Row],[Date]])+IF(MONTH(Table6[[#This Row],[Date]])&gt;=4,1,0)</f>
        <v>2026</v>
      </c>
      <c r="C221" s="121">
        <f>YEAR(Table6[[#This Row],[Date]])</f>
        <v>2025</v>
      </c>
      <c r="D221" s="121" t="s">
        <v>490</v>
      </c>
      <c r="E221" s="135">
        <f>Table6[[#This Row],[Date]]-DAY(Table6[[#This Row],[Date]])+1</f>
        <v>45748</v>
      </c>
      <c r="F221" s="134">
        <v>45753</v>
      </c>
      <c r="G221" s="121" t="s">
        <v>142</v>
      </c>
      <c r="H221" s="39" t="str">
        <f>_xlfn.XLOOKUP(Table6[[#This Row],[Affected WTG]],'Basic Data'!$A:$A,'Basic Data'!$B:$B)</f>
        <v>PWEGPL</v>
      </c>
      <c r="I221" s="39" t="str">
        <f>_xlfn.XLOOKUP(Table6[[#This Row],[Affected WTG]],'Basic Data'!$A:$A,'Basic Data'!$C:$C)</f>
        <v>MSEDCL</v>
      </c>
      <c r="J221" s="363">
        <f>IFERROR(VLOOKUP(Table6[[#This Row],[Affected WTG]],'Basic Data'!$A$3:$E$56,5,0),"")</f>
        <v>2.564102564102564E-2</v>
      </c>
      <c r="K221" s="121" t="s">
        <v>492</v>
      </c>
      <c r="L221" s="39" t="str">
        <f>IFERROR(VLOOKUP(Table6[[#This Row],[Error Code]],'Basic Data'!$T:$U,2,0),"")</f>
        <v>Manual Stop - Safety Related</v>
      </c>
      <c r="M221" s="364" t="s">
        <v>481</v>
      </c>
      <c r="O221" s="365">
        <v>0</v>
      </c>
      <c r="P221" s="365">
        <v>0.99930555555555556</v>
      </c>
      <c r="Q221" s="365">
        <v>0.99930555555555556</v>
      </c>
      <c r="R221" s="366">
        <f>IF(Table6[[#This Row],[Work Start TimeStamp]]="","",(Table6[[#This Row],[Work Start TimeStamp]]-Table6[[#This Row],[Fault Start TimeStamp]])*24)</f>
        <v>23.983333333333334</v>
      </c>
      <c r="S221" s="367">
        <f>(Table6[[#This Row],[Fault Clearance time]]-Table6[[#This Row],[Work Start TimeStamp]])*24</f>
        <v>0</v>
      </c>
      <c r="T221" s="368">
        <f>(Table6[[#This Row],[Fault Clearance time]]-Table6[[#This Row],[Fault Start TimeStamp]])*24</f>
        <v>23.983333333333334</v>
      </c>
      <c r="U221" s="364" t="s">
        <v>498</v>
      </c>
      <c r="V221" s="369" t="s">
        <v>473</v>
      </c>
      <c r="W221" s="354">
        <f>Table6[[#This Row],[Breakdown Time]]*(1/39)</f>
        <v>0.61495726495726499</v>
      </c>
      <c r="X221" s="352" t="s">
        <v>468</v>
      </c>
      <c r="Y221" s="370" t="s">
        <v>141</v>
      </c>
      <c r="Z221" s="121">
        <v>2824</v>
      </c>
      <c r="AA221" s="123">
        <v>2822.0388888888892</v>
      </c>
      <c r="AB221" s="121" t="s">
        <v>478</v>
      </c>
    </row>
    <row r="222" spans="1:28">
      <c r="A222" s="121">
        <f t="shared" si="3"/>
        <v>221</v>
      </c>
      <c r="B222" s="123">
        <f>YEAR(Table6[[#This Row],[Date]])+IF(MONTH(Table6[[#This Row],[Date]])&gt;=4,1,0)</f>
        <v>2026</v>
      </c>
      <c r="C222" s="121">
        <f>YEAR(Table6[[#This Row],[Date]])</f>
        <v>2025</v>
      </c>
      <c r="D222" s="121" t="s">
        <v>490</v>
      </c>
      <c r="E222" s="135">
        <f>Table6[[#This Row],[Date]]-DAY(Table6[[#This Row],[Date]])+1</f>
        <v>45748</v>
      </c>
      <c r="F222" s="134">
        <v>45753</v>
      </c>
      <c r="G222" s="121" t="s">
        <v>115</v>
      </c>
      <c r="H222" s="39" t="str">
        <f>_xlfn.XLOOKUP(Table6[[#This Row],[Affected WTG]],'Basic Data'!$A:$A,'Basic Data'!$B:$B)</f>
        <v>PWEGPL</v>
      </c>
      <c r="I222" s="39" t="str">
        <f>_xlfn.XLOOKUP(Table6[[#This Row],[Affected WTG]],'Basic Data'!$A:$A,'Basic Data'!$C:$C)</f>
        <v>MSEDCL</v>
      </c>
      <c r="J222" s="363">
        <f>IFERROR(VLOOKUP(Table6[[#This Row],[Affected WTG]],'Basic Data'!$A$3:$E$56,5,0),"")</f>
        <v>2.564102564102564E-2</v>
      </c>
      <c r="K222" s="121">
        <v>203</v>
      </c>
      <c r="L222" s="39" t="str">
        <f>IFERROR(VLOOKUP(Table6[[#This Row],[Error Code]],'Basic Data'!$T:$U,2,0),"")</f>
        <v>Low Pressure On Hydraulic Group</v>
      </c>
      <c r="M222" s="364" t="s">
        <v>462</v>
      </c>
      <c r="O222" s="365">
        <v>0.60763888888888884</v>
      </c>
      <c r="P222" s="365">
        <v>0.60763888888888884</v>
      </c>
      <c r="Q222" s="365">
        <v>0.61111111111111116</v>
      </c>
      <c r="R222" s="366">
        <f>IF(Table6[[#This Row],[Work Start TimeStamp]]="","",(Table6[[#This Row],[Work Start TimeStamp]]-Table6[[#This Row],[Fault Start TimeStamp]])*24)</f>
        <v>0</v>
      </c>
      <c r="S222" s="367">
        <f>(Table6[[#This Row],[Fault Clearance time]]-Table6[[#This Row],[Work Start TimeStamp]])*24</f>
        <v>8.3333333333335702E-2</v>
      </c>
      <c r="T222" s="368">
        <f>(Table6[[#This Row],[Fault Clearance time]]-Table6[[#This Row],[Fault Start TimeStamp]])*24</f>
        <v>8.3333333333335702E-2</v>
      </c>
      <c r="U222" s="364" t="s">
        <v>480</v>
      </c>
      <c r="V222" s="369" t="s">
        <v>463</v>
      </c>
      <c r="W222" s="354">
        <f>Table6[[#This Row],[Breakdown Time]]*(1/39)</f>
        <v>2.1367521367521972E-3</v>
      </c>
      <c r="X222" s="352" t="s">
        <v>465</v>
      </c>
      <c r="Y222" s="370" t="s">
        <v>121</v>
      </c>
      <c r="Z222" s="121">
        <v>3428</v>
      </c>
      <c r="AA222" s="123">
        <v>11.902777777778116</v>
      </c>
      <c r="AB222" s="121" t="s">
        <v>478</v>
      </c>
    </row>
    <row r="223" spans="1:28">
      <c r="A223" s="121">
        <f t="shared" si="3"/>
        <v>222</v>
      </c>
      <c r="B223" s="123">
        <f>YEAR(Table6[[#This Row],[Date]])+IF(MONTH(Table6[[#This Row],[Date]])&gt;=4,1,0)</f>
        <v>2026</v>
      </c>
      <c r="C223" s="121">
        <f>YEAR(Table6[[#This Row],[Date]])</f>
        <v>2025</v>
      </c>
      <c r="D223" s="121" t="s">
        <v>490</v>
      </c>
      <c r="E223" s="135">
        <f>Table6[[#This Row],[Date]]-DAY(Table6[[#This Row],[Date]])+1</f>
        <v>45748</v>
      </c>
      <c r="F223" s="134">
        <v>45753</v>
      </c>
      <c r="G223" s="121" t="s">
        <v>129</v>
      </c>
      <c r="H223" s="39" t="str">
        <f>_xlfn.XLOOKUP(Table6[[#This Row],[Affected WTG]],'Basic Data'!$A:$A,'Basic Data'!$B:$B)</f>
        <v>PWEGPL</v>
      </c>
      <c r="I223" s="39" t="str">
        <f>_xlfn.XLOOKUP(Table6[[#This Row],[Affected WTG]],'Basic Data'!$A:$A,'Basic Data'!$C:$C)</f>
        <v>MSEDCL</v>
      </c>
      <c r="J223" s="363">
        <f>IFERROR(VLOOKUP(Table6[[#This Row],[Affected WTG]],'Basic Data'!$A$3:$E$56,5,0),"")</f>
        <v>2.564102564102564E-2</v>
      </c>
      <c r="K223" s="121" t="s">
        <v>492</v>
      </c>
      <c r="L223" s="39" t="str">
        <f>IFERROR(VLOOKUP(Table6[[#This Row],[Error Code]],'Basic Data'!$T:$U,2,0),"")</f>
        <v>Manual Stop - Safety Related</v>
      </c>
      <c r="M223" s="364" t="s">
        <v>481</v>
      </c>
      <c r="O223" s="365">
        <v>0.44791666666666669</v>
      </c>
      <c r="P223" s="365">
        <v>0.44791666666666669</v>
      </c>
      <c r="Q223" s="365">
        <v>0.57222222222222219</v>
      </c>
      <c r="R223" s="366">
        <f>IF(Table6[[#This Row],[Work Start TimeStamp]]="","",(Table6[[#This Row],[Work Start TimeStamp]]-Table6[[#This Row],[Fault Start TimeStamp]])*24)</f>
        <v>0</v>
      </c>
      <c r="S223" s="367">
        <f>(Table6[[#This Row],[Fault Clearance time]]-Table6[[#This Row],[Work Start TimeStamp]])*24</f>
        <v>2.9833333333333321</v>
      </c>
      <c r="T223" s="368">
        <f>(Table6[[#This Row],[Fault Clearance time]]-Table6[[#This Row],[Fault Start TimeStamp]])*24</f>
        <v>2.9833333333333321</v>
      </c>
      <c r="U223" s="364" t="s">
        <v>505</v>
      </c>
      <c r="V223" s="369" t="s">
        <v>463</v>
      </c>
      <c r="W223" s="354">
        <f>Table6[[#This Row],[Breakdown Time]]*(1/39)</f>
        <v>7.649572649572646E-2</v>
      </c>
      <c r="X223" s="352" t="s">
        <v>468</v>
      </c>
      <c r="Y223" s="370" t="s">
        <v>128</v>
      </c>
      <c r="Z223" s="121">
        <v>3212</v>
      </c>
      <c r="AA223" s="123">
        <v>399.26944444444428</v>
      </c>
      <c r="AB223" s="121" t="s">
        <v>478</v>
      </c>
    </row>
    <row r="224" spans="1:28">
      <c r="A224" s="121">
        <f t="shared" si="3"/>
        <v>223</v>
      </c>
      <c r="B224" s="123">
        <f>YEAR(Table6[[#This Row],[Date]])+IF(MONTH(Table6[[#This Row],[Date]])&gt;=4,1,0)</f>
        <v>2026</v>
      </c>
      <c r="C224" s="121">
        <f>YEAR(Table6[[#This Row],[Date]])</f>
        <v>2025</v>
      </c>
      <c r="D224" s="121" t="s">
        <v>490</v>
      </c>
      <c r="E224" s="135">
        <f>Table6[[#This Row],[Date]]-DAY(Table6[[#This Row],[Date]])+1</f>
        <v>45748</v>
      </c>
      <c r="F224" s="134">
        <v>45753</v>
      </c>
      <c r="G224" s="121" t="s">
        <v>130</v>
      </c>
      <c r="H224" s="39" t="str">
        <f>_xlfn.XLOOKUP(Table6[[#This Row],[Affected WTG]],'Basic Data'!$A:$A,'Basic Data'!$B:$B)</f>
        <v>PWEGPL</v>
      </c>
      <c r="I224" s="39" t="str">
        <f>_xlfn.XLOOKUP(Table6[[#This Row],[Affected WTG]],'Basic Data'!$A:$A,'Basic Data'!$C:$C)</f>
        <v>MSEDCL</v>
      </c>
      <c r="J224" s="363">
        <f>IFERROR(VLOOKUP(Table6[[#This Row],[Affected WTG]],'Basic Data'!$A$3:$E$56,5,0),"")</f>
        <v>2.564102564102564E-2</v>
      </c>
      <c r="K224" s="121">
        <v>5248</v>
      </c>
      <c r="L224" s="39" t="str">
        <f>IFERROR(VLOOKUP(Table6[[#This Row],[Error Code]],'Basic Data'!$T:$U,2,0),"")</f>
        <v>Active Crowbar IGBT Errors</v>
      </c>
      <c r="M224" s="364" t="s">
        <v>462</v>
      </c>
      <c r="O224" s="365">
        <v>0</v>
      </c>
      <c r="P224" s="365">
        <v>0</v>
      </c>
      <c r="Q224" s="365">
        <v>0.99930555555555556</v>
      </c>
      <c r="R224" s="366">
        <f>IF(Table6[[#This Row],[Work Start TimeStamp]]="","",(Table6[[#This Row],[Work Start TimeStamp]]-Table6[[#This Row],[Fault Start TimeStamp]])*24)</f>
        <v>0</v>
      </c>
      <c r="S224" s="367">
        <f>(Table6[[#This Row],[Fault Clearance time]]-Table6[[#This Row],[Work Start TimeStamp]])*24</f>
        <v>23.983333333333334</v>
      </c>
      <c r="T224" s="368">
        <f>(Table6[[#This Row],[Fault Clearance time]]-Table6[[#This Row],[Fault Start TimeStamp]])*24</f>
        <v>23.983333333333334</v>
      </c>
      <c r="U224" s="364" t="s">
        <v>500</v>
      </c>
      <c r="V224" s="369" t="s">
        <v>473</v>
      </c>
      <c r="W224" s="354">
        <f>Table6[[#This Row],[Breakdown Time]]*(1/39)</f>
        <v>0.61495726495726499</v>
      </c>
      <c r="X224" s="352" t="s">
        <v>465</v>
      </c>
      <c r="Y224" s="370" t="s">
        <v>131</v>
      </c>
      <c r="Z224" s="121">
        <v>3500</v>
      </c>
      <c r="AA224" s="123">
        <v>3497.5694444444448</v>
      </c>
      <c r="AB224" s="121" t="s">
        <v>478</v>
      </c>
    </row>
    <row r="225" spans="1:28">
      <c r="A225" s="121">
        <f t="shared" si="3"/>
        <v>224</v>
      </c>
      <c r="B225" s="123">
        <f>YEAR(Table6[[#This Row],[Date]])+IF(MONTH(Table6[[#This Row],[Date]])&gt;=4,1,0)</f>
        <v>2026</v>
      </c>
      <c r="C225" s="121">
        <f>YEAR(Table6[[#This Row],[Date]])</f>
        <v>2025</v>
      </c>
      <c r="D225" s="121" t="s">
        <v>490</v>
      </c>
      <c r="E225" s="135">
        <f>Table6[[#This Row],[Date]]-DAY(Table6[[#This Row],[Date]])+1</f>
        <v>45748</v>
      </c>
      <c r="F225" s="134">
        <v>45754</v>
      </c>
      <c r="G225" s="121" t="s">
        <v>144</v>
      </c>
      <c r="H225" s="39" t="str">
        <f>_xlfn.XLOOKUP(Table6[[#This Row],[Affected WTG]],'Basic Data'!$A:$A,'Basic Data'!$B:$B)</f>
        <v>PWEGPL</v>
      </c>
      <c r="I225" s="39" t="str">
        <f>_xlfn.XLOOKUP(Table6[[#This Row],[Affected WTG]],'Basic Data'!$A:$A,'Basic Data'!$C:$C)</f>
        <v>MSEDCL</v>
      </c>
      <c r="J225" s="363">
        <f>IFERROR(VLOOKUP(Table6[[#This Row],[Affected WTG]],'Basic Data'!$A$3:$E$56,5,0),"")</f>
        <v>2.564102564102564E-2</v>
      </c>
      <c r="K225" s="121" t="s">
        <v>492</v>
      </c>
      <c r="L225" s="39" t="str">
        <f>IFERROR(VLOOKUP(Table6[[#This Row],[Error Code]],'Basic Data'!$T:$U,2,0),"")</f>
        <v>Manual Stop - Safety Related</v>
      </c>
      <c r="M225" s="364" t="s">
        <v>481</v>
      </c>
      <c r="O225" s="365">
        <v>0</v>
      </c>
      <c r="P225" s="365">
        <v>0.99930555555555556</v>
      </c>
      <c r="Q225" s="365">
        <v>0.99930555555555556</v>
      </c>
      <c r="R225" s="366">
        <f>IF(Table6[[#This Row],[Work Start TimeStamp]]="","",(Table6[[#This Row],[Work Start TimeStamp]]-Table6[[#This Row],[Fault Start TimeStamp]])*24)</f>
        <v>23.983333333333334</v>
      </c>
      <c r="S225" s="367">
        <f>(Table6[[#This Row],[Fault Clearance time]]-Table6[[#This Row],[Work Start TimeStamp]])*24</f>
        <v>0</v>
      </c>
      <c r="T225" s="368">
        <f>(Table6[[#This Row],[Fault Clearance time]]-Table6[[#This Row],[Fault Start TimeStamp]])*24</f>
        <v>23.983333333333334</v>
      </c>
      <c r="U225" s="364" t="s">
        <v>498</v>
      </c>
      <c r="V225" s="369" t="s">
        <v>473</v>
      </c>
      <c r="W225" s="354">
        <f>Table6[[#This Row],[Breakdown Time]]*(1/39)</f>
        <v>0.61495726495726499</v>
      </c>
      <c r="X225" s="352" t="s">
        <v>468</v>
      </c>
      <c r="Y225" s="370" t="s">
        <v>141</v>
      </c>
      <c r="Z225" s="121">
        <v>7807</v>
      </c>
      <c r="AA225" s="123">
        <v>7801.5784722222234</v>
      </c>
      <c r="AB225" s="121" t="s">
        <v>478</v>
      </c>
    </row>
    <row r="226" spans="1:28">
      <c r="A226" s="121">
        <f t="shared" si="3"/>
        <v>225</v>
      </c>
      <c r="B226" s="123">
        <f>YEAR(Table6[[#This Row],[Date]])+IF(MONTH(Table6[[#This Row],[Date]])&gt;=4,1,0)</f>
        <v>2026</v>
      </c>
      <c r="C226" s="121">
        <f>YEAR(Table6[[#This Row],[Date]])</f>
        <v>2025</v>
      </c>
      <c r="D226" s="121" t="s">
        <v>490</v>
      </c>
      <c r="E226" s="135">
        <f>Table6[[#This Row],[Date]]-DAY(Table6[[#This Row],[Date]])+1</f>
        <v>45748</v>
      </c>
      <c r="F226" s="134">
        <v>45754</v>
      </c>
      <c r="G226" s="121" t="s">
        <v>142</v>
      </c>
      <c r="H226" s="39" t="str">
        <f>_xlfn.XLOOKUP(Table6[[#This Row],[Affected WTG]],'Basic Data'!$A:$A,'Basic Data'!$B:$B)</f>
        <v>PWEGPL</v>
      </c>
      <c r="I226" s="39" t="str">
        <f>_xlfn.XLOOKUP(Table6[[#This Row],[Affected WTG]],'Basic Data'!$A:$A,'Basic Data'!$C:$C)</f>
        <v>MSEDCL</v>
      </c>
      <c r="J226" s="363">
        <f>IFERROR(VLOOKUP(Table6[[#This Row],[Affected WTG]],'Basic Data'!$A$3:$E$56,5,0),"")</f>
        <v>2.564102564102564E-2</v>
      </c>
      <c r="K226" s="121" t="s">
        <v>492</v>
      </c>
      <c r="L226" s="39" t="str">
        <f>IFERROR(VLOOKUP(Table6[[#This Row],[Error Code]],'Basic Data'!$T:$U,2,0),"")</f>
        <v>Manual Stop - Safety Related</v>
      </c>
      <c r="M226" s="364" t="s">
        <v>481</v>
      </c>
      <c r="O226" s="365">
        <v>0</v>
      </c>
      <c r="P226" s="365">
        <v>0.99930555555555556</v>
      </c>
      <c r="Q226" s="365">
        <v>0.99930555555555556</v>
      </c>
      <c r="R226" s="366">
        <f>IF(Table6[[#This Row],[Work Start TimeStamp]]="","",(Table6[[#This Row],[Work Start TimeStamp]]-Table6[[#This Row],[Fault Start TimeStamp]])*24)</f>
        <v>23.983333333333334</v>
      </c>
      <c r="S226" s="367">
        <f>(Table6[[#This Row],[Fault Clearance time]]-Table6[[#This Row],[Work Start TimeStamp]])*24</f>
        <v>0</v>
      </c>
      <c r="T226" s="368">
        <f>(Table6[[#This Row],[Fault Clearance time]]-Table6[[#This Row],[Fault Start TimeStamp]])*24</f>
        <v>23.983333333333334</v>
      </c>
      <c r="U226" s="364" t="s">
        <v>498</v>
      </c>
      <c r="V226" s="369" t="s">
        <v>473</v>
      </c>
      <c r="W226" s="354">
        <f>Table6[[#This Row],[Breakdown Time]]*(1/39)</f>
        <v>0.61495726495726499</v>
      </c>
      <c r="X226" s="352" t="s">
        <v>468</v>
      </c>
      <c r="Y226" s="370" t="s">
        <v>141</v>
      </c>
      <c r="Z226" s="121">
        <v>7807</v>
      </c>
      <c r="AA226" s="123">
        <v>7801.5784722222234</v>
      </c>
      <c r="AB226" s="121" t="s">
        <v>478</v>
      </c>
    </row>
    <row r="227" spans="1:28">
      <c r="A227" s="121">
        <f t="shared" si="3"/>
        <v>226</v>
      </c>
      <c r="B227" s="123">
        <f>YEAR(Table6[[#This Row],[Date]])+IF(MONTH(Table6[[#This Row],[Date]])&gt;=4,1,0)</f>
        <v>2026</v>
      </c>
      <c r="C227" s="121">
        <f>YEAR(Table6[[#This Row],[Date]])</f>
        <v>2025</v>
      </c>
      <c r="D227" s="121" t="s">
        <v>490</v>
      </c>
      <c r="E227" s="135">
        <f>Table6[[#This Row],[Date]]-DAY(Table6[[#This Row],[Date]])+1</f>
        <v>45748</v>
      </c>
      <c r="F227" s="134">
        <v>45754</v>
      </c>
      <c r="G227" s="121" t="s">
        <v>115</v>
      </c>
      <c r="H227" s="39" t="str">
        <f>_xlfn.XLOOKUP(Table6[[#This Row],[Affected WTG]],'Basic Data'!$A:$A,'Basic Data'!$B:$B)</f>
        <v>PWEGPL</v>
      </c>
      <c r="I227" s="39" t="str">
        <f>_xlfn.XLOOKUP(Table6[[#This Row],[Affected WTG]],'Basic Data'!$A:$A,'Basic Data'!$C:$C)</f>
        <v>MSEDCL</v>
      </c>
      <c r="J227" s="363">
        <f>IFERROR(VLOOKUP(Table6[[#This Row],[Affected WTG]],'Basic Data'!$A$3:$E$56,5,0),"")</f>
        <v>2.564102564102564E-2</v>
      </c>
      <c r="K227" s="121">
        <v>203</v>
      </c>
      <c r="L227" s="39" t="str">
        <f>IFERROR(VLOOKUP(Table6[[#This Row],[Error Code]],'Basic Data'!$T:$U,2,0),"")</f>
        <v>Low Pressure On Hydraulic Group</v>
      </c>
      <c r="M227" s="364" t="s">
        <v>462</v>
      </c>
      <c r="O227" s="365">
        <v>0.10069444444444445</v>
      </c>
      <c r="P227" s="365">
        <v>0.10069444444444445</v>
      </c>
      <c r="Q227" s="365">
        <v>0.10416666666666667</v>
      </c>
      <c r="R227" s="366">
        <f>IF(Table6[[#This Row],[Work Start TimeStamp]]="","",(Table6[[#This Row],[Work Start TimeStamp]]-Table6[[#This Row],[Fault Start TimeStamp]])*24)</f>
        <v>0</v>
      </c>
      <c r="S227" s="367">
        <f>(Table6[[#This Row],[Fault Clearance time]]-Table6[[#This Row],[Work Start TimeStamp]])*24</f>
        <v>8.333333333333337E-2</v>
      </c>
      <c r="T227" s="368">
        <f>(Table6[[#This Row],[Fault Clearance time]]-Table6[[#This Row],[Fault Start TimeStamp]])*24</f>
        <v>8.333333333333337E-2</v>
      </c>
      <c r="U227" s="364" t="s">
        <v>480</v>
      </c>
      <c r="V227" s="369" t="s">
        <v>463</v>
      </c>
      <c r="W227" s="354">
        <f>Table6[[#This Row],[Breakdown Time]]*(1/39)</f>
        <v>2.1367521367521378E-3</v>
      </c>
      <c r="X227" s="352" t="s">
        <v>465</v>
      </c>
      <c r="Y227" s="370" t="s">
        <v>121</v>
      </c>
      <c r="Z227" s="121">
        <v>4061</v>
      </c>
      <c r="AA227" s="123">
        <v>14.100694444444452</v>
      </c>
      <c r="AB227" s="121" t="s">
        <v>478</v>
      </c>
    </row>
    <row r="228" spans="1:28">
      <c r="A228" s="121">
        <f t="shared" si="3"/>
        <v>227</v>
      </c>
      <c r="B228" s="123">
        <f>YEAR(Table6[[#This Row],[Date]])+IF(MONTH(Table6[[#This Row],[Date]])&gt;=4,1,0)</f>
        <v>2026</v>
      </c>
      <c r="C228" s="121">
        <f>YEAR(Table6[[#This Row],[Date]])</f>
        <v>2025</v>
      </c>
      <c r="D228" s="121" t="s">
        <v>490</v>
      </c>
      <c r="E228" s="135">
        <f>Table6[[#This Row],[Date]]-DAY(Table6[[#This Row],[Date]])+1</f>
        <v>45748</v>
      </c>
      <c r="F228" s="134">
        <v>45754</v>
      </c>
      <c r="G228" s="121" t="s">
        <v>115</v>
      </c>
      <c r="H228" s="39" t="str">
        <f>_xlfn.XLOOKUP(Table6[[#This Row],[Affected WTG]],'Basic Data'!$A:$A,'Basic Data'!$B:$B)</f>
        <v>PWEGPL</v>
      </c>
      <c r="I228" s="39" t="str">
        <f>_xlfn.XLOOKUP(Table6[[#This Row],[Affected WTG]],'Basic Data'!$A:$A,'Basic Data'!$C:$C)</f>
        <v>MSEDCL</v>
      </c>
      <c r="J228" s="363">
        <f>IFERROR(VLOOKUP(Table6[[#This Row],[Affected WTG]],'Basic Data'!$A$3:$E$56,5,0),"")</f>
        <v>2.564102564102564E-2</v>
      </c>
      <c r="K228" s="121">
        <v>800</v>
      </c>
      <c r="L228" s="39" t="str">
        <f>IFERROR(VLOOKUP(Table6[[#This Row],[Error Code]],'Basic Data'!$T:$U,2,0),"")</f>
        <v>Pitch Drive Error</v>
      </c>
      <c r="M228" s="364" t="s">
        <v>462</v>
      </c>
      <c r="O228" s="365">
        <v>0.73819444444444449</v>
      </c>
      <c r="P228" s="365">
        <v>0.73819444444444449</v>
      </c>
      <c r="Q228" s="365">
        <v>0.7416666666666667</v>
      </c>
      <c r="R228" s="366">
        <f>IF(Table6[[#This Row],[Work Start TimeStamp]]="","",(Table6[[#This Row],[Work Start TimeStamp]]-Table6[[#This Row],[Fault Start TimeStamp]])*24)</f>
        <v>0</v>
      </c>
      <c r="S228" s="367">
        <f>(Table6[[#This Row],[Fault Clearance time]]-Table6[[#This Row],[Work Start TimeStamp]])*24</f>
        <v>8.3333333333333037E-2</v>
      </c>
      <c r="T228" s="368">
        <f>(Table6[[#This Row],[Fault Clearance time]]-Table6[[#This Row],[Fault Start TimeStamp]])*24</f>
        <v>8.3333333333333037E-2</v>
      </c>
      <c r="U228" s="364" t="s">
        <v>480</v>
      </c>
      <c r="V228" s="369" t="s">
        <v>463</v>
      </c>
      <c r="W228" s="354">
        <f>Table6[[#This Row],[Breakdown Time]]*(1/39)</f>
        <v>2.1367521367521292E-3</v>
      </c>
      <c r="X228" s="352" t="s">
        <v>465</v>
      </c>
      <c r="Y228" s="370" t="s">
        <v>121</v>
      </c>
      <c r="Z228" s="121">
        <v>4061</v>
      </c>
      <c r="AA228" s="123">
        <v>14.100694444444395</v>
      </c>
      <c r="AB228" s="121" t="s">
        <v>478</v>
      </c>
    </row>
    <row r="229" spans="1:28">
      <c r="A229" s="121">
        <f t="shared" si="3"/>
        <v>228</v>
      </c>
      <c r="B229" s="123">
        <f>YEAR(Table6[[#This Row],[Date]])+IF(MONTH(Table6[[#This Row],[Date]])&gt;=4,1,0)</f>
        <v>2026</v>
      </c>
      <c r="C229" s="121">
        <f>YEAR(Table6[[#This Row],[Date]])</f>
        <v>2025</v>
      </c>
      <c r="D229" s="121" t="s">
        <v>490</v>
      </c>
      <c r="E229" s="135">
        <f>Table6[[#This Row],[Date]]-DAY(Table6[[#This Row],[Date]])+1</f>
        <v>45748</v>
      </c>
      <c r="F229" s="134">
        <v>45754</v>
      </c>
      <c r="G229" s="121" t="s">
        <v>118</v>
      </c>
      <c r="H229" s="39" t="str">
        <f>_xlfn.XLOOKUP(Table6[[#This Row],[Affected WTG]],'Basic Data'!$A:$A,'Basic Data'!$B:$B)</f>
        <v>PWEGPL</v>
      </c>
      <c r="I229" s="39" t="str">
        <f>_xlfn.XLOOKUP(Table6[[#This Row],[Affected WTG]],'Basic Data'!$A:$A,'Basic Data'!$C:$C)</f>
        <v>MSEDCL</v>
      </c>
      <c r="J229" s="363">
        <f>IFERROR(VLOOKUP(Table6[[#This Row],[Affected WTG]],'Basic Data'!$A$3:$E$56,5,0),"")</f>
        <v>2.564102564102564E-2</v>
      </c>
      <c r="K229" s="121">
        <v>5200</v>
      </c>
      <c r="L229" s="39" t="str">
        <f>IFERROR(VLOOKUP(Table6[[#This Row],[Error Code]],'Basic Data'!$T:$U,2,0),"")</f>
        <v>Magnetothermic Trigger Of The Line Protection</v>
      </c>
      <c r="M229" s="364" t="s">
        <v>462</v>
      </c>
      <c r="O229" s="365">
        <v>0.68680555555555556</v>
      </c>
      <c r="P229" s="365">
        <v>0.68680555555555556</v>
      </c>
      <c r="Q229" s="365">
        <v>0.68819444444444444</v>
      </c>
      <c r="R229" s="366">
        <f>IF(Table6[[#This Row],[Work Start TimeStamp]]="","",(Table6[[#This Row],[Work Start TimeStamp]]-Table6[[#This Row],[Fault Start TimeStamp]])*24)</f>
        <v>0</v>
      </c>
      <c r="S229" s="367">
        <f>(Table6[[#This Row],[Fault Clearance time]]-Table6[[#This Row],[Work Start TimeStamp]])*24</f>
        <v>3.3333333333333215E-2</v>
      </c>
      <c r="T229" s="368">
        <f>(Table6[[#This Row],[Fault Clearance time]]-Table6[[#This Row],[Fault Start TimeStamp]])*24</f>
        <v>3.3333333333333215E-2</v>
      </c>
      <c r="U229" s="364" t="s">
        <v>480</v>
      </c>
      <c r="V229" s="369" t="s">
        <v>463</v>
      </c>
      <c r="W229" s="354">
        <f>Table6[[#This Row],[Breakdown Time]]*(1/39)</f>
        <v>8.5470085470085166E-4</v>
      </c>
      <c r="X229" s="352" t="s">
        <v>465</v>
      </c>
      <c r="Y229" s="370" t="s">
        <v>117</v>
      </c>
      <c r="Z229" s="121">
        <v>5516</v>
      </c>
      <c r="AA229" s="123">
        <v>7.6611111111110839</v>
      </c>
      <c r="AB229" s="121" t="s">
        <v>478</v>
      </c>
    </row>
    <row r="230" spans="1:28">
      <c r="A230" s="121">
        <f t="shared" si="3"/>
        <v>229</v>
      </c>
      <c r="B230" s="123">
        <f>YEAR(Table6[[#This Row],[Date]])+IF(MONTH(Table6[[#This Row],[Date]])&gt;=4,1,0)</f>
        <v>2026</v>
      </c>
      <c r="C230" s="121">
        <f>YEAR(Table6[[#This Row],[Date]])</f>
        <v>2025</v>
      </c>
      <c r="D230" s="121" t="s">
        <v>490</v>
      </c>
      <c r="E230" s="135">
        <f>Table6[[#This Row],[Date]]-DAY(Table6[[#This Row],[Date]])+1</f>
        <v>45748</v>
      </c>
      <c r="F230" s="134">
        <v>45754</v>
      </c>
      <c r="G230" s="121" t="s">
        <v>120</v>
      </c>
      <c r="H230" s="39" t="str">
        <f>_xlfn.XLOOKUP(Table6[[#This Row],[Affected WTG]],'Basic Data'!$A:$A,'Basic Data'!$B:$B)</f>
        <v>PWEGPL</v>
      </c>
      <c r="I230" s="39" t="str">
        <f>_xlfn.XLOOKUP(Table6[[#This Row],[Affected WTG]],'Basic Data'!$A:$A,'Basic Data'!$C:$C)</f>
        <v>MSEDCL</v>
      </c>
      <c r="J230" s="363">
        <f>IFERROR(VLOOKUP(Table6[[#This Row],[Affected WTG]],'Basic Data'!$A$3:$E$56,5,0),"")</f>
        <v>2.564102564102564E-2</v>
      </c>
      <c r="K230" s="121">
        <v>5216</v>
      </c>
      <c r="L230" s="39" t="str">
        <f>IFERROR(VLOOKUP(Table6[[#This Row],[Error Code]],'Basic Data'!$T:$U,2,0),"")</f>
        <v>Grid Voltage Failure</v>
      </c>
      <c r="M230" s="364" t="s">
        <v>462</v>
      </c>
      <c r="O230" s="365">
        <v>5.8333333333333334E-2</v>
      </c>
      <c r="P230" s="365">
        <v>6.1805555555555558E-2</v>
      </c>
      <c r="Q230" s="365">
        <v>0.1076388888888889</v>
      </c>
      <c r="R230" s="366">
        <f>IF(Table6[[#This Row],[Work Start TimeStamp]]="","",(Table6[[#This Row],[Work Start TimeStamp]]-Table6[[#This Row],[Fault Start TimeStamp]])*24)</f>
        <v>8.333333333333337E-2</v>
      </c>
      <c r="S230" s="367">
        <f>(Table6[[#This Row],[Fault Clearance time]]-Table6[[#This Row],[Work Start TimeStamp]])*24</f>
        <v>1.1000000000000001</v>
      </c>
      <c r="T230" s="368">
        <f>(Table6[[#This Row],[Fault Clearance time]]-Table6[[#This Row],[Fault Start TimeStamp]])*24</f>
        <v>1.1833333333333336</v>
      </c>
      <c r="U230" s="364" t="s">
        <v>535</v>
      </c>
      <c r="V230" s="369" t="s">
        <v>463</v>
      </c>
      <c r="W230" s="354">
        <f>Table6[[#This Row],[Breakdown Time]]*(1/39)</f>
        <v>3.0341880341880349E-2</v>
      </c>
      <c r="X230" s="352" t="s">
        <v>465</v>
      </c>
      <c r="Y230" s="370" t="s">
        <v>117</v>
      </c>
      <c r="Z230" s="121">
        <v>5516</v>
      </c>
      <c r="AA230" s="123">
        <v>271.96944444444449</v>
      </c>
      <c r="AB230" s="121" t="s">
        <v>478</v>
      </c>
    </row>
    <row r="231" spans="1:28">
      <c r="A231" s="121">
        <f t="shared" si="3"/>
        <v>230</v>
      </c>
      <c r="B231" s="123">
        <f>YEAR(Table6[[#This Row],[Date]])+IF(MONTH(Table6[[#This Row],[Date]])&gt;=4,1,0)</f>
        <v>2026</v>
      </c>
      <c r="C231" s="121">
        <f>YEAR(Table6[[#This Row],[Date]])</f>
        <v>2025</v>
      </c>
      <c r="D231" s="121" t="s">
        <v>490</v>
      </c>
      <c r="E231" s="135">
        <f>Table6[[#This Row],[Date]]-DAY(Table6[[#This Row],[Date]])+1</f>
        <v>45748</v>
      </c>
      <c r="F231" s="134">
        <v>45754</v>
      </c>
      <c r="G231" s="121" t="s">
        <v>121</v>
      </c>
      <c r="H231" s="39" t="str">
        <f>_xlfn.XLOOKUP(Table6[[#This Row],[Affected WTG]],'Basic Data'!$A:$A,'Basic Data'!$B:$B)</f>
        <v>PWEGPL</v>
      </c>
      <c r="I231" s="39" t="str">
        <f>_xlfn.XLOOKUP(Table6[[#This Row],[Affected WTG]],'Basic Data'!$A:$A,'Basic Data'!$C:$C)</f>
        <v>MSEDCL</v>
      </c>
      <c r="J231" s="363">
        <f>IFERROR(VLOOKUP(Table6[[#This Row],[Affected WTG]],'Basic Data'!$A$3:$E$56,5,0),"")</f>
        <v>2.564102564102564E-2</v>
      </c>
      <c r="K231" s="121">
        <v>227</v>
      </c>
      <c r="L231" s="39" t="str">
        <f>IFERROR(VLOOKUP(Table6[[#This Row],[Error Code]],'Basic Data'!$T:$U,2,0),"")</f>
        <v>Hydraulic HUB Filter Dirty Too Long</v>
      </c>
      <c r="M231" s="364" t="s">
        <v>462</v>
      </c>
      <c r="O231" s="365">
        <v>0.19236111111111112</v>
      </c>
      <c r="P231" s="365">
        <v>0.31041666666666667</v>
      </c>
      <c r="Q231" s="365">
        <v>0.31041666666666667</v>
      </c>
      <c r="R231" s="366">
        <f>IF(Table6[[#This Row],[Work Start TimeStamp]]="","",(Table6[[#This Row],[Work Start TimeStamp]]-Table6[[#This Row],[Fault Start TimeStamp]])*24)</f>
        <v>2.833333333333333</v>
      </c>
      <c r="S231" s="367">
        <f>(Table6[[#This Row],[Fault Clearance time]]-Table6[[#This Row],[Work Start TimeStamp]])*24</f>
        <v>0</v>
      </c>
      <c r="T231" s="368">
        <f>(Table6[[#This Row],[Fault Clearance time]]-Table6[[#This Row],[Fault Start TimeStamp]])*24</f>
        <v>2.833333333333333</v>
      </c>
      <c r="U231" s="364" t="s">
        <v>493</v>
      </c>
      <c r="V231" s="369" t="s">
        <v>463</v>
      </c>
      <c r="W231" s="354">
        <f>Table6[[#This Row],[Breakdown Time]]*(1/39)</f>
        <v>7.2649572649572641E-2</v>
      </c>
      <c r="X231" s="352" t="s">
        <v>465</v>
      </c>
      <c r="Y231" s="370" t="s">
        <v>115</v>
      </c>
      <c r="Z231" s="121">
        <v>5128</v>
      </c>
      <c r="AA231" s="123">
        <v>605.3888888888888</v>
      </c>
      <c r="AB231" s="121" t="s">
        <v>478</v>
      </c>
    </row>
    <row r="232" spans="1:28">
      <c r="A232" s="121">
        <f t="shared" si="3"/>
        <v>231</v>
      </c>
      <c r="B232" s="123">
        <f>YEAR(Table6[[#This Row],[Date]])+IF(MONTH(Table6[[#This Row],[Date]])&gt;=4,1,0)</f>
        <v>2026</v>
      </c>
      <c r="C232" s="121">
        <f>YEAR(Table6[[#This Row],[Date]])</f>
        <v>2025</v>
      </c>
      <c r="D232" s="121" t="s">
        <v>490</v>
      </c>
      <c r="E232" s="135">
        <f>Table6[[#This Row],[Date]]-DAY(Table6[[#This Row],[Date]])+1</f>
        <v>45748</v>
      </c>
      <c r="F232" s="134">
        <v>45754</v>
      </c>
      <c r="G232" s="121" t="s">
        <v>130</v>
      </c>
      <c r="H232" s="39" t="str">
        <f>_xlfn.XLOOKUP(Table6[[#This Row],[Affected WTG]],'Basic Data'!$A:$A,'Basic Data'!$B:$B)</f>
        <v>PWEGPL</v>
      </c>
      <c r="I232" s="39" t="str">
        <f>_xlfn.XLOOKUP(Table6[[#This Row],[Affected WTG]],'Basic Data'!$A:$A,'Basic Data'!$C:$C)</f>
        <v>MSEDCL</v>
      </c>
      <c r="J232" s="363">
        <f>IFERROR(VLOOKUP(Table6[[#This Row],[Affected WTG]],'Basic Data'!$A$3:$E$56,5,0),"")</f>
        <v>2.564102564102564E-2</v>
      </c>
      <c r="K232" s="121">
        <v>5248</v>
      </c>
      <c r="L232" s="39" t="str">
        <f>IFERROR(VLOOKUP(Table6[[#This Row],[Error Code]],'Basic Data'!$T:$U,2,0),"")</f>
        <v>Active Crowbar IGBT Errors</v>
      </c>
      <c r="M232" s="364" t="s">
        <v>462</v>
      </c>
      <c r="O232" s="365">
        <v>0</v>
      </c>
      <c r="P232" s="365">
        <v>0</v>
      </c>
      <c r="Q232" s="365">
        <v>0.99930555555555556</v>
      </c>
      <c r="R232" s="366">
        <f>IF(Table6[[#This Row],[Work Start TimeStamp]]="","",(Table6[[#This Row],[Work Start TimeStamp]]-Table6[[#This Row],[Fault Start TimeStamp]])*24)</f>
        <v>0</v>
      </c>
      <c r="S232" s="367">
        <f>(Table6[[#This Row],[Fault Clearance time]]-Table6[[#This Row],[Work Start TimeStamp]])*24</f>
        <v>23.983333333333334</v>
      </c>
      <c r="T232" s="368">
        <f>(Table6[[#This Row],[Fault Clearance time]]-Table6[[#This Row],[Fault Start TimeStamp]])*24</f>
        <v>23.983333333333334</v>
      </c>
      <c r="U232" s="364" t="s">
        <v>500</v>
      </c>
      <c r="V232" s="369" t="s">
        <v>463</v>
      </c>
      <c r="W232" s="354">
        <f>Table6[[#This Row],[Breakdown Time]]*(1/39)</f>
        <v>0.61495726495726499</v>
      </c>
      <c r="X232" s="352" t="s">
        <v>465</v>
      </c>
      <c r="Y232" s="370" t="s">
        <v>131</v>
      </c>
      <c r="Z232" s="121">
        <v>5120</v>
      </c>
      <c r="AA232" s="123">
        <v>5116.4444444444453</v>
      </c>
      <c r="AB232" s="121" t="s">
        <v>478</v>
      </c>
    </row>
    <row r="233" spans="1:28">
      <c r="A233" s="121">
        <f t="shared" si="3"/>
        <v>232</v>
      </c>
      <c r="B233" s="123">
        <f>YEAR(Table6[[#This Row],[Date]])+IF(MONTH(Table6[[#This Row],[Date]])&gt;=4,1,0)</f>
        <v>2026</v>
      </c>
      <c r="C233" s="121">
        <f>YEAR(Table6[[#This Row],[Date]])</f>
        <v>2025</v>
      </c>
      <c r="D233" s="121" t="s">
        <v>490</v>
      </c>
      <c r="E233" s="135">
        <f>Table6[[#This Row],[Date]]-DAY(Table6[[#This Row],[Date]])+1</f>
        <v>45748</v>
      </c>
      <c r="F233" s="134">
        <v>45754</v>
      </c>
      <c r="G233" s="121" t="s">
        <v>141</v>
      </c>
      <c r="H233" s="39" t="str">
        <f>_xlfn.XLOOKUP(Table6[[#This Row],[Affected WTG]],'Basic Data'!$A:$A,'Basic Data'!$B:$B)</f>
        <v>PWEGPL</v>
      </c>
      <c r="I233" s="39" t="str">
        <f>_xlfn.XLOOKUP(Table6[[#This Row],[Affected WTG]],'Basic Data'!$A:$A,'Basic Data'!$C:$C)</f>
        <v>MSEDCL</v>
      </c>
      <c r="J233" s="363">
        <f>IFERROR(VLOOKUP(Table6[[#This Row],[Affected WTG]],'Basic Data'!$A$3:$E$56,5,0),"")</f>
        <v>2.564102564102564E-2</v>
      </c>
      <c r="K233" s="121">
        <v>523</v>
      </c>
      <c r="L233" s="39" t="str">
        <f>IFERROR(VLOOKUP(Table6[[#This Row],[Error Code]],'Basic Data'!$T:$U,2,0),"")</f>
        <v>High Temperature Of Coolant In The Input Of The Cooling Circuit</v>
      </c>
      <c r="M233" s="364" t="s">
        <v>462</v>
      </c>
      <c r="O233" s="365">
        <v>0.59583333333333333</v>
      </c>
      <c r="P233" s="365">
        <v>0.59583333333333333</v>
      </c>
      <c r="Q233" s="365">
        <v>0.59930555555555554</v>
      </c>
      <c r="R233" s="366">
        <f>IF(Table6[[#This Row],[Work Start TimeStamp]]="","",(Table6[[#This Row],[Work Start TimeStamp]]-Table6[[#This Row],[Fault Start TimeStamp]])*24)</f>
        <v>0</v>
      </c>
      <c r="S233" s="367">
        <f>(Table6[[#This Row],[Fault Clearance time]]-Table6[[#This Row],[Work Start TimeStamp]])*24</f>
        <v>8.3333333333333037E-2</v>
      </c>
      <c r="T233" s="368">
        <f>(Table6[[#This Row],[Fault Clearance time]]-Table6[[#This Row],[Fault Start TimeStamp]])*24</f>
        <v>8.3333333333333037E-2</v>
      </c>
      <c r="U233" s="364" t="s">
        <v>480</v>
      </c>
      <c r="V233" s="369" t="s">
        <v>463</v>
      </c>
      <c r="W233" s="354">
        <f>Table6[[#This Row],[Breakdown Time]]*(1/39)</f>
        <v>2.1367521367521292E-3</v>
      </c>
      <c r="X233" s="352" t="s">
        <v>465</v>
      </c>
      <c r="Y233" s="370" t="s">
        <v>143</v>
      </c>
      <c r="Z233" s="121">
        <v>7195</v>
      </c>
      <c r="AA233" s="123">
        <v>24.9826388888888</v>
      </c>
      <c r="AB233" s="121" t="s">
        <v>478</v>
      </c>
    </row>
    <row r="234" spans="1:28">
      <c r="A234" s="121">
        <f t="shared" si="3"/>
        <v>233</v>
      </c>
      <c r="B234" s="123">
        <f>YEAR(Table6[[#This Row],[Date]])+IF(MONTH(Table6[[#This Row],[Date]])&gt;=4,1,0)</f>
        <v>2026</v>
      </c>
      <c r="C234" s="121">
        <f>YEAR(Table6[[#This Row],[Date]])</f>
        <v>2025</v>
      </c>
      <c r="D234" s="121" t="s">
        <v>490</v>
      </c>
      <c r="E234" s="135">
        <f>Table6[[#This Row],[Date]]-DAY(Table6[[#This Row],[Date]])+1</f>
        <v>45748</v>
      </c>
      <c r="F234" s="134">
        <v>45754</v>
      </c>
      <c r="G234" s="121" t="s">
        <v>141</v>
      </c>
      <c r="H234" s="39" t="str">
        <f>_xlfn.XLOOKUP(Table6[[#This Row],[Affected WTG]],'Basic Data'!$A:$A,'Basic Data'!$B:$B)</f>
        <v>PWEGPL</v>
      </c>
      <c r="I234" s="39" t="str">
        <f>_xlfn.XLOOKUP(Table6[[#This Row],[Affected WTG]],'Basic Data'!$A:$A,'Basic Data'!$C:$C)</f>
        <v>MSEDCL</v>
      </c>
      <c r="J234" s="363">
        <f>IFERROR(VLOOKUP(Table6[[#This Row],[Affected WTG]],'Basic Data'!$A$3:$E$56,5,0),"")</f>
        <v>2.564102564102564E-2</v>
      </c>
      <c r="K234" s="121">
        <v>523</v>
      </c>
      <c r="L234" s="39" t="str">
        <f>IFERROR(VLOOKUP(Table6[[#This Row],[Error Code]],'Basic Data'!$T:$U,2,0),"")</f>
        <v>High Temperature Of Coolant In The Input Of The Cooling Circuit</v>
      </c>
      <c r="M234" s="364" t="s">
        <v>462</v>
      </c>
      <c r="O234" s="365">
        <v>0.67083333333333328</v>
      </c>
      <c r="P234" s="365">
        <v>0.67083333333333328</v>
      </c>
      <c r="Q234" s="365">
        <v>0.67847222222222225</v>
      </c>
      <c r="R234" s="366">
        <f>IF(Table6[[#This Row],[Work Start TimeStamp]]="","",(Table6[[#This Row],[Work Start TimeStamp]]-Table6[[#This Row],[Fault Start TimeStamp]])*24)</f>
        <v>0</v>
      </c>
      <c r="S234" s="367">
        <f>(Table6[[#This Row],[Fault Clearance time]]-Table6[[#This Row],[Work Start TimeStamp]])*24</f>
        <v>0.18333333333333535</v>
      </c>
      <c r="T234" s="368">
        <f>(Table6[[#This Row],[Fault Clearance time]]-Table6[[#This Row],[Fault Start TimeStamp]])*24</f>
        <v>0.18333333333333535</v>
      </c>
      <c r="U234" s="364" t="s">
        <v>480</v>
      </c>
      <c r="V234" s="369" t="s">
        <v>463</v>
      </c>
      <c r="W234" s="354">
        <f>Table6[[#This Row],[Breakdown Time]]*(1/39)</f>
        <v>4.7008547008547527E-3</v>
      </c>
      <c r="X234" s="352" t="s">
        <v>465</v>
      </c>
      <c r="Y234" s="370" t="s">
        <v>143</v>
      </c>
      <c r="Z234" s="121">
        <v>7195</v>
      </c>
      <c r="AA234" s="123">
        <v>54.961805555556161</v>
      </c>
      <c r="AB234" s="121" t="s">
        <v>478</v>
      </c>
    </row>
    <row r="235" spans="1:28">
      <c r="A235" s="121">
        <f t="shared" si="3"/>
        <v>234</v>
      </c>
      <c r="B235" s="123">
        <f>YEAR(Table6[[#This Row],[Date]])+IF(MONTH(Table6[[#This Row],[Date]])&gt;=4,1,0)</f>
        <v>2026</v>
      </c>
      <c r="C235" s="121">
        <f>YEAR(Table6[[#This Row],[Date]])</f>
        <v>2025</v>
      </c>
      <c r="D235" s="121" t="s">
        <v>490</v>
      </c>
      <c r="E235" s="135">
        <f>Table6[[#This Row],[Date]]-DAY(Table6[[#This Row],[Date]])+1</f>
        <v>45748</v>
      </c>
      <c r="F235" s="134">
        <v>45754</v>
      </c>
      <c r="G235" s="121" t="s">
        <v>141</v>
      </c>
      <c r="H235" s="39" t="str">
        <f>_xlfn.XLOOKUP(Table6[[#This Row],[Affected WTG]],'Basic Data'!$A:$A,'Basic Data'!$B:$B)</f>
        <v>PWEGPL</v>
      </c>
      <c r="I235" s="39" t="str">
        <f>_xlfn.XLOOKUP(Table6[[#This Row],[Affected WTG]],'Basic Data'!$A:$A,'Basic Data'!$C:$C)</f>
        <v>MSEDCL</v>
      </c>
      <c r="J235" s="363">
        <f>IFERROR(VLOOKUP(Table6[[#This Row],[Affected WTG]],'Basic Data'!$A$3:$E$56,5,0),"")</f>
        <v>2.564102564102564E-2</v>
      </c>
      <c r="K235" s="121">
        <v>523</v>
      </c>
      <c r="L235" s="39" t="str">
        <f>IFERROR(VLOOKUP(Table6[[#This Row],[Error Code]],'Basic Data'!$T:$U,2,0),"")</f>
        <v>High Temperature Of Coolant In The Input Of The Cooling Circuit</v>
      </c>
      <c r="M235" s="364" t="s">
        <v>462</v>
      </c>
      <c r="O235" s="365">
        <v>0.69305555555555554</v>
      </c>
      <c r="P235" s="365">
        <v>0.69305555555555554</v>
      </c>
      <c r="Q235" s="365">
        <v>0.7</v>
      </c>
      <c r="R235" s="366">
        <f>IF(Table6[[#This Row],[Work Start TimeStamp]]="","",(Table6[[#This Row],[Work Start TimeStamp]]-Table6[[#This Row],[Fault Start TimeStamp]])*24)</f>
        <v>0</v>
      </c>
      <c r="S235" s="367">
        <f>(Table6[[#This Row],[Fault Clearance time]]-Table6[[#This Row],[Work Start TimeStamp]])*24</f>
        <v>0.16666666666666607</v>
      </c>
      <c r="T235" s="368">
        <f>(Table6[[#This Row],[Fault Clearance time]]-Table6[[#This Row],[Fault Start TimeStamp]])*24</f>
        <v>0.16666666666666607</v>
      </c>
      <c r="U235" s="364" t="s">
        <v>480</v>
      </c>
      <c r="V235" s="369" t="s">
        <v>463</v>
      </c>
      <c r="W235" s="354">
        <f>Table6[[#This Row],[Breakdown Time]]*(1/39)</f>
        <v>4.2735042735042583E-3</v>
      </c>
      <c r="X235" s="352" t="s">
        <v>465</v>
      </c>
      <c r="Y235" s="370" t="s">
        <v>143</v>
      </c>
      <c r="Z235" s="121">
        <v>7195</v>
      </c>
      <c r="AA235" s="123">
        <v>49.965277777777601</v>
      </c>
      <c r="AB235" s="121" t="s">
        <v>478</v>
      </c>
    </row>
    <row r="236" spans="1:28">
      <c r="A236" s="121">
        <f t="shared" si="3"/>
        <v>235</v>
      </c>
      <c r="B236" s="123">
        <f>YEAR(Table6[[#This Row],[Date]])+IF(MONTH(Table6[[#This Row],[Date]])&gt;=4,1,0)</f>
        <v>2026</v>
      </c>
      <c r="C236" s="121">
        <f>YEAR(Table6[[#This Row],[Date]])</f>
        <v>2025</v>
      </c>
      <c r="D236" s="121" t="s">
        <v>490</v>
      </c>
      <c r="E236" s="135">
        <f>Table6[[#This Row],[Date]]-DAY(Table6[[#This Row],[Date]])+1</f>
        <v>45748</v>
      </c>
      <c r="F236" s="134">
        <v>45754</v>
      </c>
      <c r="G236" s="121" t="s">
        <v>141</v>
      </c>
      <c r="H236" s="39" t="str">
        <f>_xlfn.XLOOKUP(Table6[[#This Row],[Affected WTG]],'Basic Data'!$A:$A,'Basic Data'!$B:$B)</f>
        <v>PWEGPL</v>
      </c>
      <c r="I236" s="39" t="str">
        <f>_xlfn.XLOOKUP(Table6[[#This Row],[Affected WTG]],'Basic Data'!$A:$A,'Basic Data'!$C:$C)</f>
        <v>MSEDCL</v>
      </c>
      <c r="J236" s="363">
        <f>IFERROR(VLOOKUP(Table6[[#This Row],[Affected WTG]],'Basic Data'!$A$3:$E$56,5,0),"")</f>
        <v>2.564102564102564E-2</v>
      </c>
      <c r="K236" s="121">
        <v>523</v>
      </c>
      <c r="L236" s="39" t="str">
        <f>IFERROR(VLOOKUP(Table6[[#This Row],[Error Code]],'Basic Data'!$T:$U,2,0),"")</f>
        <v>High Temperature Of Coolant In The Input Of The Cooling Circuit</v>
      </c>
      <c r="M236" s="364" t="s">
        <v>462</v>
      </c>
      <c r="O236" s="365">
        <v>0.82222222222222219</v>
      </c>
      <c r="P236" s="365">
        <v>0.82222222222222219</v>
      </c>
      <c r="Q236" s="365">
        <v>0.8256944444444444</v>
      </c>
      <c r="R236" s="366">
        <f>IF(Table6[[#This Row],[Work Start TimeStamp]]="","",(Table6[[#This Row],[Work Start TimeStamp]]-Table6[[#This Row],[Fault Start TimeStamp]])*24)</f>
        <v>0</v>
      </c>
      <c r="S236" s="367">
        <f>(Table6[[#This Row],[Fault Clearance time]]-Table6[[#This Row],[Work Start TimeStamp]])*24</f>
        <v>8.3333333333333037E-2</v>
      </c>
      <c r="T236" s="368">
        <f>(Table6[[#This Row],[Fault Clearance time]]-Table6[[#This Row],[Fault Start TimeStamp]])*24</f>
        <v>8.3333333333333037E-2</v>
      </c>
      <c r="U236" s="364" t="s">
        <v>480</v>
      </c>
      <c r="V236" s="369" t="s">
        <v>463</v>
      </c>
      <c r="W236" s="354">
        <f>Table6[[#This Row],[Breakdown Time]]*(1/39)</f>
        <v>2.1367521367521292E-3</v>
      </c>
      <c r="X236" s="352" t="s">
        <v>465</v>
      </c>
      <c r="Y236" s="370" t="s">
        <v>143</v>
      </c>
      <c r="Z236" s="121">
        <v>7195</v>
      </c>
      <c r="AA236" s="123">
        <v>24.9826388888888</v>
      </c>
      <c r="AB236" s="121" t="s">
        <v>478</v>
      </c>
    </row>
    <row r="237" spans="1:28">
      <c r="A237" s="121">
        <f t="shared" si="3"/>
        <v>236</v>
      </c>
      <c r="B237" s="123">
        <f>YEAR(Table6[[#This Row],[Date]])+IF(MONTH(Table6[[#This Row],[Date]])&gt;=4,1,0)</f>
        <v>2026</v>
      </c>
      <c r="C237" s="121">
        <f>YEAR(Table6[[#This Row],[Date]])</f>
        <v>2025</v>
      </c>
      <c r="D237" s="121" t="s">
        <v>490</v>
      </c>
      <c r="E237" s="135">
        <f>Table6[[#This Row],[Date]]-DAY(Table6[[#This Row],[Date]])+1</f>
        <v>45748</v>
      </c>
      <c r="F237" s="134">
        <v>45754</v>
      </c>
      <c r="G237" s="121" t="s">
        <v>141</v>
      </c>
      <c r="H237" s="39" t="str">
        <f>_xlfn.XLOOKUP(Table6[[#This Row],[Affected WTG]],'Basic Data'!$A:$A,'Basic Data'!$B:$B)</f>
        <v>PWEGPL</v>
      </c>
      <c r="I237" s="39" t="str">
        <f>_xlfn.XLOOKUP(Table6[[#This Row],[Affected WTG]],'Basic Data'!$A:$A,'Basic Data'!$C:$C)</f>
        <v>MSEDCL</v>
      </c>
      <c r="J237" s="363">
        <f>IFERROR(VLOOKUP(Table6[[#This Row],[Affected WTG]],'Basic Data'!$A$3:$E$56,5,0),"")</f>
        <v>2.564102564102564E-2</v>
      </c>
      <c r="K237" s="121">
        <v>523</v>
      </c>
      <c r="L237" s="39" t="str">
        <f>IFERROR(VLOOKUP(Table6[[#This Row],[Error Code]],'Basic Data'!$T:$U,2,0),"")</f>
        <v>High Temperature Of Coolant In The Input Of The Cooling Circuit</v>
      </c>
      <c r="M237" s="364" t="s">
        <v>462</v>
      </c>
      <c r="O237" s="365">
        <v>0.83819444444444446</v>
      </c>
      <c r="P237" s="365">
        <v>0.83819444444444446</v>
      </c>
      <c r="Q237" s="365">
        <v>0.84166666666666667</v>
      </c>
      <c r="R237" s="366">
        <f>IF(Table6[[#This Row],[Work Start TimeStamp]]="","",(Table6[[#This Row],[Work Start TimeStamp]]-Table6[[#This Row],[Fault Start TimeStamp]])*24)</f>
        <v>0</v>
      </c>
      <c r="S237" s="367">
        <f>(Table6[[#This Row],[Fault Clearance time]]-Table6[[#This Row],[Work Start TimeStamp]])*24</f>
        <v>8.3333333333333037E-2</v>
      </c>
      <c r="T237" s="368">
        <f>(Table6[[#This Row],[Fault Clearance time]]-Table6[[#This Row],[Fault Start TimeStamp]])*24</f>
        <v>8.3333333333333037E-2</v>
      </c>
      <c r="U237" s="364" t="s">
        <v>480</v>
      </c>
      <c r="V237" s="369" t="s">
        <v>463</v>
      </c>
      <c r="W237" s="354">
        <f>Table6[[#This Row],[Breakdown Time]]*(1/39)</f>
        <v>2.1367521367521292E-3</v>
      </c>
      <c r="X237" s="352" t="s">
        <v>465</v>
      </c>
      <c r="Y237" s="370" t="s">
        <v>143</v>
      </c>
      <c r="Z237" s="121">
        <v>7195</v>
      </c>
      <c r="AA237" s="123">
        <v>24.9826388888888</v>
      </c>
      <c r="AB237" s="121" t="s">
        <v>478</v>
      </c>
    </row>
    <row r="238" spans="1:28">
      <c r="A238" s="121">
        <f t="shared" si="3"/>
        <v>237</v>
      </c>
      <c r="B238" s="123">
        <f>YEAR(Table6[[#This Row],[Date]])+IF(MONTH(Table6[[#This Row],[Date]])&gt;=4,1,0)</f>
        <v>2026</v>
      </c>
      <c r="C238" s="121">
        <f>YEAR(Table6[[#This Row],[Date]])</f>
        <v>2025</v>
      </c>
      <c r="D238" s="121" t="s">
        <v>490</v>
      </c>
      <c r="E238" s="135">
        <f>Table6[[#This Row],[Date]]-DAY(Table6[[#This Row],[Date]])+1</f>
        <v>45748</v>
      </c>
      <c r="F238" s="134">
        <v>45754</v>
      </c>
      <c r="G238" s="121" t="s">
        <v>146</v>
      </c>
      <c r="H238" s="39" t="str">
        <f>_xlfn.XLOOKUP(Table6[[#This Row],[Affected WTG]],'Basic Data'!$A:$A,'Basic Data'!$B:$B)</f>
        <v>PWEGPL</v>
      </c>
      <c r="I238" s="39" t="str">
        <f>_xlfn.XLOOKUP(Table6[[#This Row],[Affected WTG]],'Basic Data'!$A:$A,'Basic Data'!$C:$C)</f>
        <v>MSEDCL</v>
      </c>
      <c r="J238" s="363">
        <f>IFERROR(VLOOKUP(Table6[[#This Row],[Affected WTG]],'Basic Data'!$A$3:$E$56,5,0),"")</f>
        <v>2.564102564102564E-2</v>
      </c>
      <c r="K238" s="121" t="s">
        <v>487</v>
      </c>
      <c r="L238" s="39" t="str">
        <f>IFERROR(VLOOKUP(Table6[[#This Row],[Error Code]],'Basic Data'!$T:$U,2,0),"")</f>
        <v>General Work Stoppage</v>
      </c>
      <c r="M238" s="364" t="s">
        <v>462</v>
      </c>
      <c r="O238" s="365">
        <v>0.50694444444444442</v>
      </c>
      <c r="P238" s="365">
        <v>0.50694444444444442</v>
      </c>
      <c r="Q238" s="365">
        <v>0.71944444444444444</v>
      </c>
      <c r="R238" s="366">
        <f>IF(Table6[[#This Row],[Work Start TimeStamp]]="","",(Table6[[#This Row],[Work Start TimeStamp]]-Table6[[#This Row],[Fault Start TimeStamp]])*24)</f>
        <v>0</v>
      </c>
      <c r="S238" s="367">
        <f>(Table6[[#This Row],[Fault Clearance time]]-Table6[[#This Row],[Work Start TimeStamp]])*24</f>
        <v>5.1000000000000005</v>
      </c>
      <c r="T238" s="368">
        <f>(Table6[[#This Row],[Fault Clearance time]]-Table6[[#This Row],[Fault Start TimeStamp]])*24</f>
        <v>5.1000000000000005</v>
      </c>
      <c r="U238" s="364" t="s">
        <v>496</v>
      </c>
      <c r="V238" s="369" t="s">
        <v>463</v>
      </c>
      <c r="W238" s="354">
        <f>Table6[[#This Row],[Breakdown Time]]*(1/39)</f>
        <v>0.13076923076923078</v>
      </c>
      <c r="X238" s="352" t="s">
        <v>464</v>
      </c>
      <c r="Y238" s="370" t="s">
        <v>147</v>
      </c>
      <c r="Z238" s="121">
        <v>6153</v>
      </c>
      <c r="AA238" s="123">
        <v>1307.5125</v>
      </c>
      <c r="AB238" s="121" t="s">
        <v>478</v>
      </c>
    </row>
    <row r="239" spans="1:28">
      <c r="A239" s="121">
        <f t="shared" si="3"/>
        <v>238</v>
      </c>
      <c r="B239" s="123">
        <f>YEAR(Table6[[#This Row],[Date]])+IF(MONTH(Table6[[#This Row],[Date]])&gt;=4,1,0)</f>
        <v>2026</v>
      </c>
      <c r="C239" s="121">
        <f>YEAR(Table6[[#This Row],[Date]])</f>
        <v>2025</v>
      </c>
      <c r="D239" s="121" t="s">
        <v>490</v>
      </c>
      <c r="E239" s="135">
        <f>Table6[[#This Row],[Date]]-DAY(Table6[[#This Row],[Date]])+1</f>
        <v>45748</v>
      </c>
      <c r="F239" s="134">
        <v>45754</v>
      </c>
      <c r="G239" s="121" t="s">
        <v>151</v>
      </c>
      <c r="H239" s="39" t="str">
        <f>_xlfn.XLOOKUP(Table6[[#This Row],[Affected WTG]],'Basic Data'!$A:$A,'Basic Data'!$B:$B)</f>
        <v>PWEGPL</v>
      </c>
      <c r="I239" s="39" t="str">
        <f>_xlfn.XLOOKUP(Table6[[#This Row],[Affected WTG]],'Basic Data'!$A:$A,'Basic Data'!$C:$C)</f>
        <v>MSEDCL</v>
      </c>
      <c r="J239" s="363">
        <f>IFERROR(VLOOKUP(Table6[[#This Row],[Affected WTG]],'Basic Data'!$A$3:$E$56,5,0),"")</f>
        <v>2.564102564102564E-2</v>
      </c>
      <c r="K239" s="121">
        <v>203</v>
      </c>
      <c r="L239" s="39" t="str">
        <f>IFERROR(VLOOKUP(Table6[[#This Row],[Error Code]],'Basic Data'!$T:$U,2,0),"")</f>
        <v>Low Pressure On Hydraulic Group</v>
      </c>
      <c r="M239" s="364" t="s">
        <v>462</v>
      </c>
      <c r="O239" s="365">
        <v>0.6</v>
      </c>
      <c r="P239" s="365">
        <v>0.6</v>
      </c>
      <c r="Q239" s="365">
        <v>0.60347222222222219</v>
      </c>
      <c r="R239" s="366">
        <f>IF(Table6[[#This Row],[Work Start TimeStamp]]="","",(Table6[[#This Row],[Work Start TimeStamp]]-Table6[[#This Row],[Fault Start TimeStamp]])*24)</f>
        <v>0</v>
      </c>
      <c r="S239" s="367">
        <f>(Table6[[#This Row],[Fault Clearance time]]-Table6[[#This Row],[Work Start TimeStamp]])*24</f>
        <v>8.3333333333333037E-2</v>
      </c>
      <c r="T239" s="368">
        <f>(Table6[[#This Row],[Fault Clearance time]]-Table6[[#This Row],[Fault Start TimeStamp]])*24</f>
        <v>8.3333333333333037E-2</v>
      </c>
      <c r="U239" s="364" t="s">
        <v>480</v>
      </c>
      <c r="V239" s="369" t="s">
        <v>463</v>
      </c>
      <c r="W239" s="354">
        <f>Table6[[#This Row],[Breakdown Time]]*(1/39)</f>
        <v>2.1367521367521292E-3</v>
      </c>
      <c r="X239" s="352" t="s">
        <v>465</v>
      </c>
      <c r="Y239" s="370" t="s">
        <v>153</v>
      </c>
      <c r="Z239" s="121">
        <v>6822</v>
      </c>
      <c r="AA239" s="123">
        <v>23.687499999999915</v>
      </c>
      <c r="AB239" s="121" t="s">
        <v>478</v>
      </c>
    </row>
    <row r="240" spans="1:28">
      <c r="A240" s="121">
        <f t="shared" si="3"/>
        <v>239</v>
      </c>
      <c r="B240" s="123">
        <f>YEAR(Table6[[#This Row],[Date]])+IF(MONTH(Table6[[#This Row],[Date]])&gt;=4,1,0)</f>
        <v>2026</v>
      </c>
      <c r="C240" s="121">
        <f>YEAR(Table6[[#This Row],[Date]])</f>
        <v>2025</v>
      </c>
      <c r="D240" s="121" t="s">
        <v>490</v>
      </c>
      <c r="E240" s="135">
        <f>Table6[[#This Row],[Date]]-DAY(Table6[[#This Row],[Date]])+1</f>
        <v>45748</v>
      </c>
      <c r="F240" s="134">
        <v>45755</v>
      </c>
      <c r="G240" s="121" t="s">
        <v>144</v>
      </c>
      <c r="H240" s="39" t="str">
        <f>_xlfn.XLOOKUP(Table6[[#This Row],[Affected WTG]],'Basic Data'!$A:$A,'Basic Data'!$B:$B)</f>
        <v>PWEGPL</v>
      </c>
      <c r="I240" s="39" t="str">
        <f>_xlfn.XLOOKUP(Table6[[#This Row],[Affected WTG]],'Basic Data'!$A:$A,'Basic Data'!$C:$C)</f>
        <v>MSEDCL</v>
      </c>
      <c r="J240" s="363">
        <f>IFERROR(VLOOKUP(Table6[[#This Row],[Affected WTG]],'Basic Data'!$A$3:$E$56,5,0),"")</f>
        <v>2.564102564102564E-2</v>
      </c>
      <c r="K240" s="121" t="s">
        <v>492</v>
      </c>
      <c r="L240" s="39" t="str">
        <f>IFERROR(VLOOKUP(Table6[[#This Row],[Error Code]],'Basic Data'!$T:$U,2,0),"")</f>
        <v>Manual Stop - Safety Related</v>
      </c>
      <c r="M240" s="364" t="s">
        <v>481</v>
      </c>
      <c r="O240" s="365">
        <v>0</v>
      </c>
      <c r="P240" s="365">
        <v>0.99930555555555556</v>
      </c>
      <c r="Q240" s="365">
        <v>0.99930555555555556</v>
      </c>
      <c r="R240" s="366">
        <f>IF(Table6[[#This Row],[Work Start TimeStamp]]="","",(Table6[[#This Row],[Work Start TimeStamp]]-Table6[[#This Row],[Fault Start TimeStamp]])*24)</f>
        <v>23.983333333333334</v>
      </c>
      <c r="S240" s="367">
        <f>(Table6[[#This Row],[Fault Clearance time]]-Table6[[#This Row],[Work Start TimeStamp]])*24</f>
        <v>0</v>
      </c>
      <c r="T240" s="368">
        <f>(Table6[[#This Row],[Fault Clearance time]]-Table6[[#This Row],[Fault Start TimeStamp]])*24</f>
        <v>23.983333333333334</v>
      </c>
      <c r="U240" s="364" t="s">
        <v>498</v>
      </c>
      <c r="V240" s="369" t="s">
        <v>473</v>
      </c>
      <c r="W240" s="354">
        <f>Table6[[#This Row],[Breakdown Time]]*(1/39)</f>
        <v>0.61495726495726499</v>
      </c>
      <c r="X240" s="352" t="s">
        <v>468</v>
      </c>
      <c r="Y240" s="370" t="s">
        <v>141</v>
      </c>
      <c r="Z240" s="121">
        <v>3910</v>
      </c>
      <c r="AA240" s="123">
        <v>3907.2847222222222</v>
      </c>
      <c r="AB240" s="121" t="s">
        <v>478</v>
      </c>
    </row>
    <row r="241" spans="1:28">
      <c r="A241" s="121">
        <f t="shared" si="3"/>
        <v>240</v>
      </c>
      <c r="B241" s="123">
        <f>YEAR(Table6[[#This Row],[Date]])+IF(MONTH(Table6[[#This Row],[Date]])&gt;=4,1,0)</f>
        <v>2026</v>
      </c>
      <c r="C241" s="121">
        <f>YEAR(Table6[[#This Row],[Date]])</f>
        <v>2025</v>
      </c>
      <c r="D241" s="121" t="s">
        <v>490</v>
      </c>
      <c r="E241" s="135">
        <f>Table6[[#This Row],[Date]]-DAY(Table6[[#This Row],[Date]])+1</f>
        <v>45748</v>
      </c>
      <c r="F241" s="134">
        <v>45755</v>
      </c>
      <c r="G241" s="121" t="s">
        <v>142</v>
      </c>
      <c r="H241" s="39" t="str">
        <f>_xlfn.XLOOKUP(Table6[[#This Row],[Affected WTG]],'Basic Data'!$A:$A,'Basic Data'!$B:$B)</f>
        <v>PWEGPL</v>
      </c>
      <c r="I241" s="39" t="str">
        <f>_xlfn.XLOOKUP(Table6[[#This Row],[Affected WTG]],'Basic Data'!$A:$A,'Basic Data'!$C:$C)</f>
        <v>MSEDCL</v>
      </c>
      <c r="J241" s="363">
        <f>IFERROR(VLOOKUP(Table6[[#This Row],[Affected WTG]],'Basic Data'!$A$3:$E$56,5,0),"")</f>
        <v>2.564102564102564E-2</v>
      </c>
      <c r="K241" s="121" t="s">
        <v>492</v>
      </c>
      <c r="L241" s="39" t="str">
        <f>IFERROR(VLOOKUP(Table6[[#This Row],[Error Code]],'Basic Data'!$T:$U,2,0),"")</f>
        <v>Manual Stop - Safety Related</v>
      </c>
      <c r="M241" s="364" t="s">
        <v>481</v>
      </c>
      <c r="O241" s="365">
        <v>0</v>
      </c>
      <c r="P241" s="365">
        <v>0.99930555555555556</v>
      </c>
      <c r="Q241" s="365">
        <v>0.99930555555555556</v>
      </c>
      <c r="R241" s="366">
        <f>IF(Table6[[#This Row],[Work Start TimeStamp]]="","",(Table6[[#This Row],[Work Start TimeStamp]]-Table6[[#This Row],[Fault Start TimeStamp]])*24)</f>
        <v>23.983333333333334</v>
      </c>
      <c r="S241" s="367">
        <f>(Table6[[#This Row],[Fault Clearance time]]-Table6[[#This Row],[Work Start TimeStamp]])*24</f>
        <v>0</v>
      </c>
      <c r="T241" s="368">
        <f>(Table6[[#This Row],[Fault Clearance time]]-Table6[[#This Row],[Fault Start TimeStamp]])*24</f>
        <v>23.983333333333334</v>
      </c>
      <c r="U241" s="364" t="s">
        <v>498</v>
      </c>
      <c r="V241" s="369" t="s">
        <v>473</v>
      </c>
      <c r="W241" s="354">
        <f>Table6[[#This Row],[Breakdown Time]]*(1/39)</f>
        <v>0.61495726495726499</v>
      </c>
      <c r="X241" s="352" t="s">
        <v>468</v>
      </c>
      <c r="Y241" s="370" t="s">
        <v>141</v>
      </c>
      <c r="Z241" s="121">
        <v>3910</v>
      </c>
      <c r="AA241" s="123">
        <v>3907.2847222222222</v>
      </c>
      <c r="AB241" s="121" t="s">
        <v>478</v>
      </c>
    </row>
    <row r="242" spans="1:28">
      <c r="A242" s="121">
        <f t="shared" si="3"/>
        <v>241</v>
      </c>
      <c r="B242" s="123">
        <f>YEAR(Table6[[#This Row],[Date]])+IF(MONTH(Table6[[#This Row],[Date]])&gt;=4,1,0)</f>
        <v>2026</v>
      </c>
      <c r="C242" s="121">
        <f>YEAR(Table6[[#This Row],[Date]])</f>
        <v>2025</v>
      </c>
      <c r="D242" s="121" t="s">
        <v>490</v>
      </c>
      <c r="E242" s="135">
        <f>Table6[[#This Row],[Date]]-DAY(Table6[[#This Row],[Date]])+1</f>
        <v>45748</v>
      </c>
      <c r="F242" s="134">
        <v>45755</v>
      </c>
      <c r="G242" s="121" t="s">
        <v>115</v>
      </c>
      <c r="H242" s="39" t="str">
        <f>_xlfn.XLOOKUP(Table6[[#This Row],[Affected WTG]],'Basic Data'!$A:$A,'Basic Data'!$B:$B)</f>
        <v>PWEGPL</v>
      </c>
      <c r="I242" s="39" t="str">
        <f>_xlfn.XLOOKUP(Table6[[#This Row],[Affected WTG]],'Basic Data'!$A:$A,'Basic Data'!$C:$C)</f>
        <v>MSEDCL</v>
      </c>
      <c r="J242" s="363">
        <f>IFERROR(VLOOKUP(Table6[[#This Row],[Affected WTG]],'Basic Data'!$A$3:$E$56,5,0),"")</f>
        <v>2.564102564102564E-2</v>
      </c>
      <c r="K242" s="121">
        <v>203</v>
      </c>
      <c r="L242" s="39" t="str">
        <f>IFERROR(VLOOKUP(Table6[[#This Row],[Error Code]],'Basic Data'!$T:$U,2,0),"")</f>
        <v>Low Pressure On Hydraulic Group</v>
      </c>
      <c r="M242" s="364" t="s">
        <v>462</v>
      </c>
      <c r="O242" s="365">
        <v>0.54097222222222219</v>
      </c>
      <c r="P242" s="365">
        <v>0.54097222222222219</v>
      </c>
      <c r="Q242" s="365">
        <v>0.5444444444444444</v>
      </c>
      <c r="R242" s="366">
        <f>IF(Table6[[#This Row],[Work Start TimeStamp]]="","",(Table6[[#This Row],[Work Start TimeStamp]]-Table6[[#This Row],[Fault Start TimeStamp]])*24)</f>
        <v>0</v>
      </c>
      <c r="S242" s="367">
        <f>(Table6[[#This Row],[Fault Clearance time]]-Table6[[#This Row],[Work Start TimeStamp]])*24</f>
        <v>8.3333333333333037E-2</v>
      </c>
      <c r="T242" s="368">
        <f>(Table6[[#This Row],[Fault Clearance time]]-Table6[[#This Row],[Fault Start TimeStamp]])*24</f>
        <v>8.3333333333333037E-2</v>
      </c>
      <c r="U242" s="364" t="s">
        <v>480</v>
      </c>
      <c r="V242" s="369" t="s">
        <v>463</v>
      </c>
      <c r="W242" s="354">
        <f>Table6[[#This Row],[Breakdown Time]]*(1/39)</f>
        <v>2.1367521367521292E-3</v>
      </c>
      <c r="X242" s="352" t="s">
        <v>465</v>
      </c>
      <c r="Y242" s="370" t="s">
        <v>121</v>
      </c>
      <c r="Z242" s="121">
        <v>4140</v>
      </c>
      <c r="AA242" s="123">
        <v>14.374999999999948</v>
      </c>
      <c r="AB242" s="121" t="s">
        <v>478</v>
      </c>
    </row>
    <row r="243" spans="1:28">
      <c r="A243" s="121">
        <f t="shared" si="3"/>
        <v>242</v>
      </c>
      <c r="B243" s="123">
        <f>YEAR(Table6[[#This Row],[Date]])+IF(MONTH(Table6[[#This Row],[Date]])&gt;=4,1,0)</f>
        <v>2026</v>
      </c>
      <c r="C243" s="121">
        <f>YEAR(Table6[[#This Row],[Date]])</f>
        <v>2025</v>
      </c>
      <c r="D243" s="121" t="s">
        <v>490</v>
      </c>
      <c r="E243" s="135">
        <f>Table6[[#This Row],[Date]]-DAY(Table6[[#This Row],[Date]])+1</f>
        <v>45748</v>
      </c>
      <c r="F243" s="134">
        <v>45755</v>
      </c>
      <c r="G243" s="121" t="s">
        <v>117</v>
      </c>
      <c r="H243" s="39" t="str">
        <f>_xlfn.XLOOKUP(Table6[[#This Row],[Affected WTG]],'Basic Data'!$A:$A,'Basic Data'!$B:$B)</f>
        <v>PWEGPL</v>
      </c>
      <c r="I243" s="39" t="str">
        <f>_xlfn.XLOOKUP(Table6[[#This Row],[Affected WTG]],'Basic Data'!$A:$A,'Basic Data'!$C:$C)</f>
        <v>MSEDCL</v>
      </c>
      <c r="J243" s="363">
        <f>IFERROR(VLOOKUP(Table6[[#This Row],[Affected WTG]],'Basic Data'!$A$3:$E$56,5,0),"")</f>
        <v>2.564102564102564E-2</v>
      </c>
      <c r="K243" s="121">
        <v>426</v>
      </c>
      <c r="L243" s="39" t="str">
        <f>IFERROR(VLOOKUP(Table6[[#This Row],[Error Code]],'Basic Data'!$T:$U,2,0),"")</f>
        <v>Rotor Speed Reading Failure</v>
      </c>
      <c r="M243" s="364" t="s">
        <v>462</v>
      </c>
      <c r="O243" s="365">
        <v>0.18958333333333333</v>
      </c>
      <c r="P243" s="365">
        <v>0.18958333333333333</v>
      </c>
      <c r="Q243" s="365">
        <v>0.19305555555555556</v>
      </c>
      <c r="R243" s="366">
        <f>IF(Table6[[#This Row],[Work Start TimeStamp]]="","",(Table6[[#This Row],[Work Start TimeStamp]]-Table6[[#This Row],[Fault Start TimeStamp]])*24)</f>
        <v>0</v>
      </c>
      <c r="S243" s="367">
        <f>(Table6[[#This Row],[Fault Clearance time]]-Table6[[#This Row],[Work Start TimeStamp]])*24</f>
        <v>8.3333333333333703E-2</v>
      </c>
      <c r="T243" s="368">
        <f>(Table6[[#This Row],[Fault Clearance time]]-Table6[[#This Row],[Fault Start TimeStamp]])*24</f>
        <v>8.3333333333333703E-2</v>
      </c>
      <c r="U243" s="364" t="s">
        <v>480</v>
      </c>
      <c r="V243" s="369" t="s">
        <v>463</v>
      </c>
      <c r="W243" s="354">
        <f>Table6[[#This Row],[Breakdown Time]]*(1/39)</f>
        <v>2.1367521367521461E-3</v>
      </c>
      <c r="X243" s="352" t="s">
        <v>465</v>
      </c>
      <c r="Y243" s="370" t="s">
        <v>118</v>
      </c>
      <c r="Z243" s="121">
        <v>2420</v>
      </c>
      <c r="AA243" s="123">
        <v>8.4027777777778141</v>
      </c>
      <c r="AB243" s="121" t="s">
        <v>478</v>
      </c>
    </row>
    <row r="244" spans="1:28">
      <c r="A244" s="121">
        <f t="shared" si="3"/>
        <v>243</v>
      </c>
      <c r="B244" s="123">
        <f>YEAR(Table6[[#This Row],[Date]])+IF(MONTH(Table6[[#This Row],[Date]])&gt;=4,1,0)</f>
        <v>2026</v>
      </c>
      <c r="C244" s="121">
        <f>YEAR(Table6[[#This Row],[Date]])</f>
        <v>2025</v>
      </c>
      <c r="D244" s="121" t="s">
        <v>490</v>
      </c>
      <c r="E244" s="135">
        <f>Table6[[#This Row],[Date]]-DAY(Table6[[#This Row],[Date]])+1</f>
        <v>45748</v>
      </c>
      <c r="F244" s="134">
        <v>45755</v>
      </c>
      <c r="G244" s="121" t="s">
        <v>118</v>
      </c>
      <c r="H244" s="39" t="str">
        <f>_xlfn.XLOOKUP(Table6[[#This Row],[Affected WTG]],'Basic Data'!$A:$A,'Basic Data'!$B:$B)</f>
        <v>PWEGPL</v>
      </c>
      <c r="I244" s="39" t="str">
        <f>_xlfn.XLOOKUP(Table6[[#This Row],[Affected WTG]],'Basic Data'!$A:$A,'Basic Data'!$C:$C)</f>
        <v>MSEDCL</v>
      </c>
      <c r="J244" s="363">
        <f>IFERROR(VLOOKUP(Table6[[#This Row],[Affected WTG]],'Basic Data'!$A$3:$E$56,5,0),"")</f>
        <v>2.564102564102564E-2</v>
      </c>
      <c r="K244" s="121">
        <v>5200</v>
      </c>
      <c r="L244" s="39" t="str">
        <f>IFERROR(VLOOKUP(Table6[[#This Row],[Error Code]],'Basic Data'!$T:$U,2,0),"")</f>
        <v>Magnetothermic Trigger Of The Line Protection</v>
      </c>
      <c r="M244" s="364" t="s">
        <v>462</v>
      </c>
      <c r="O244" s="365">
        <v>0.5708333333333333</v>
      </c>
      <c r="P244" s="365">
        <v>0.5708333333333333</v>
      </c>
      <c r="Q244" s="365">
        <v>0.57430555555555551</v>
      </c>
      <c r="R244" s="366">
        <f>IF(Table6[[#This Row],[Work Start TimeStamp]]="","",(Table6[[#This Row],[Work Start TimeStamp]]-Table6[[#This Row],[Fault Start TimeStamp]])*24)</f>
        <v>0</v>
      </c>
      <c r="S244" s="367">
        <f>(Table6[[#This Row],[Fault Clearance time]]-Table6[[#This Row],[Work Start TimeStamp]])*24</f>
        <v>8.3333333333333037E-2</v>
      </c>
      <c r="T244" s="368">
        <f>(Table6[[#This Row],[Fault Clearance time]]-Table6[[#This Row],[Fault Start TimeStamp]])*24</f>
        <v>8.3333333333333037E-2</v>
      </c>
      <c r="U244" s="364" t="s">
        <v>480</v>
      </c>
      <c r="V244" s="369" t="s">
        <v>463</v>
      </c>
      <c r="W244" s="354">
        <f>Table6[[#This Row],[Breakdown Time]]*(1/39)</f>
        <v>2.1367521367521292E-3</v>
      </c>
      <c r="X244" s="352" t="s">
        <v>465</v>
      </c>
      <c r="Y244" s="370" t="s">
        <v>117</v>
      </c>
      <c r="Z244" s="121">
        <v>3986</v>
      </c>
      <c r="AA244" s="123">
        <v>13.840277777777729</v>
      </c>
      <c r="AB244" s="121" t="s">
        <v>478</v>
      </c>
    </row>
    <row r="245" spans="1:28">
      <c r="A245" s="121">
        <f t="shared" si="3"/>
        <v>244</v>
      </c>
      <c r="B245" s="123">
        <f>YEAR(Table6[[#This Row],[Date]])+IF(MONTH(Table6[[#This Row],[Date]])&gt;=4,1,0)</f>
        <v>2026</v>
      </c>
      <c r="C245" s="121">
        <f>YEAR(Table6[[#This Row],[Date]])</f>
        <v>2025</v>
      </c>
      <c r="D245" s="121" t="s">
        <v>490</v>
      </c>
      <c r="E245" s="135">
        <f>Table6[[#This Row],[Date]]-DAY(Table6[[#This Row],[Date]])+1</f>
        <v>45748</v>
      </c>
      <c r="F245" s="134">
        <v>45755</v>
      </c>
      <c r="G245" s="121" t="s">
        <v>118</v>
      </c>
      <c r="H245" s="39" t="str">
        <f>_xlfn.XLOOKUP(Table6[[#This Row],[Affected WTG]],'Basic Data'!$A:$A,'Basic Data'!$B:$B)</f>
        <v>PWEGPL</v>
      </c>
      <c r="I245" s="39" t="str">
        <f>_xlfn.XLOOKUP(Table6[[#This Row],[Affected WTG]],'Basic Data'!$A:$A,'Basic Data'!$C:$C)</f>
        <v>MSEDCL</v>
      </c>
      <c r="J245" s="363">
        <f>IFERROR(VLOOKUP(Table6[[#This Row],[Affected WTG]],'Basic Data'!$A$3:$E$56,5,0),"")</f>
        <v>2.564102564102564E-2</v>
      </c>
      <c r="K245" s="121">
        <v>523</v>
      </c>
      <c r="L245" s="39" t="str">
        <f>IFERROR(VLOOKUP(Table6[[#This Row],[Error Code]],'Basic Data'!$T:$U,2,0),"")</f>
        <v>High Temperature Of Coolant In The Input Of The Cooling Circuit</v>
      </c>
      <c r="M245" s="364" t="s">
        <v>462</v>
      </c>
      <c r="O245" s="365">
        <v>0.58263888888888893</v>
      </c>
      <c r="P245" s="365">
        <v>0.58263888888888893</v>
      </c>
      <c r="Q245" s="365">
        <v>0.58611111111111114</v>
      </c>
      <c r="R245" s="366">
        <f>IF(Table6[[#This Row],[Work Start TimeStamp]]="","",(Table6[[#This Row],[Work Start TimeStamp]]-Table6[[#This Row],[Fault Start TimeStamp]])*24)</f>
        <v>0</v>
      </c>
      <c r="S245" s="367">
        <f>(Table6[[#This Row],[Fault Clearance time]]-Table6[[#This Row],[Work Start TimeStamp]])*24</f>
        <v>8.3333333333333037E-2</v>
      </c>
      <c r="T245" s="368">
        <f>(Table6[[#This Row],[Fault Clearance time]]-Table6[[#This Row],[Fault Start TimeStamp]])*24</f>
        <v>8.3333333333333037E-2</v>
      </c>
      <c r="U245" s="364" t="s">
        <v>480</v>
      </c>
      <c r="V245" s="369" t="s">
        <v>463</v>
      </c>
      <c r="W245" s="354">
        <f>Table6[[#This Row],[Breakdown Time]]*(1/39)</f>
        <v>2.1367521367521292E-3</v>
      </c>
      <c r="X245" s="352" t="s">
        <v>465</v>
      </c>
      <c r="Y245" s="370" t="s">
        <v>117</v>
      </c>
      <c r="Z245" s="121">
        <v>3986</v>
      </c>
      <c r="AA245" s="123">
        <v>13.840277777777729</v>
      </c>
      <c r="AB245" s="121" t="s">
        <v>478</v>
      </c>
    </row>
    <row r="246" spans="1:28">
      <c r="A246" s="121">
        <f t="shared" si="3"/>
        <v>245</v>
      </c>
      <c r="B246" s="123">
        <f>YEAR(Table6[[#This Row],[Date]])+IF(MONTH(Table6[[#This Row],[Date]])&gt;=4,1,0)</f>
        <v>2026</v>
      </c>
      <c r="C246" s="121">
        <f>YEAR(Table6[[#This Row],[Date]])</f>
        <v>2025</v>
      </c>
      <c r="D246" s="121" t="s">
        <v>490</v>
      </c>
      <c r="E246" s="135">
        <f>Table6[[#This Row],[Date]]-DAY(Table6[[#This Row],[Date]])+1</f>
        <v>45748</v>
      </c>
      <c r="F246" s="134">
        <v>45755</v>
      </c>
      <c r="G246" s="121" t="s">
        <v>118</v>
      </c>
      <c r="H246" s="39" t="str">
        <f>_xlfn.XLOOKUP(Table6[[#This Row],[Affected WTG]],'Basic Data'!$A:$A,'Basic Data'!$B:$B)</f>
        <v>PWEGPL</v>
      </c>
      <c r="I246" s="39" t="str">
        <f>_xlfn.XLOOKUP(Table6[[#This Row],[Affected WTG]],'Basic Data'!$A:$A,'Basic Data'!$C:$C)</f>
        <v>MSEDCL</v>
      </c>
      <c r="J246" s="363">
        <f>IFERROR(VLOOKUP(Table6[[#This Row],[Affected WTG]],'Basic Data'!$A$3:$E$56,5,0),"")</f>
        <v>2.564102564102564E-2</v>
      </c>
      <c r="K246" s="121">
        <v>5200</v>
      </c>
      <c r="L246" s="39" t="str">
        <f>IFERROR(VLOOKUP(Table6[[#This Row],[Error Code]],'Basic Data'!$T:$U,2,0),"")</f>
        <v>Magnetothermic Trigger Of The Line Protection</v>
      </c>
      <c r="M246" s="364" t="s">
        <v>462</v>
      </c>
      <c r="O246" s="365">
        <v>0.9506944444444444</v>
      </c>
      <c r="P246" s="365">
        <v>0.99930555555555556</v>
      </c>
      <c r="Q246" s="365">
        <v>0.99930555555555556</v>
      </c>
      <c r="R246" s="366">
        <f>IF(Table6[[#This Row],[Work Start TimeStamp]]="","",(Table6[[#This Row],[Work Start TimeStamp]]-Table6[[#This Row],[Fault Start TimeStamp]])*24)</f>
        <v>1.1666666666666679</v>
      </c>
      <c r="S246" s="367">
        <f>(Table6[[#This Row],[Fault Clearance time]]-Table6[[#This Row],[Work Start TimeStamp]])*24</f>
        <v>0</v>
      </c>
      <c r="T246" s="368">
        <f>(Table6[[#This Row],[Fault Clearance time]]-Table6[[#This Row],[Fault Start TimeStamp]])*24</f>
        <v>1.1666666666666679</v>
      </c>
      <c r="U246" s="364" t="s">
        <v>500</v>
      </c>
      <c r="V246" s="369" t="s">
        <v>473</v>
      </c>
      <c r="W246" s="354">
        <f>Table6[[#This Row],[Breakdown Time]]*(1/39)</f>
        <v>2.9914529914529944E-2</v>
      </c>
      <c r="X246" s="352" t="s">
        <v>465</v>
      </c>
      <c r="Y246" s="370" t="s">
        <v>117</v>
      </c>
      <c r="Z246" s="121">
        <v>3986</v>
      </c>
      <c r="AA246" s="123">
        <v>193.76388888888908</v>
      </c>
      <c r="AB246" s="121" t="s">
        <v>478</v>
      </c>
    </row>
    <row r="247" spans="1:28">
      <c r="A247" s="121">
        <f t="shared" si="3"/>
        <v>246</v>
      </c>
      <c r="B247" s="123">
        <f>YEAR(Table6[[#This Row],[Date]])+IF(MONTH(Table6[[#This Row],[Date]])&gt;=4,1,0)</f>
        <v>2026</v>
      </c>
      <c r="C247" s="121">
        <f>YEAR(Table6[[#This Row],[Date]])</f>
        <v>2025</v>
      </c>
      <c r="D247" s="121" t="s">
        <v>490</v>
      </c>
      <c r="E247" s="135">
        <f>Table6[[#This Row],[Date]]-DAY(Table6[[#This Row],[Date]])+1</f>
        <v>45748</v>
      </c>
      <c r="F247" s="134">
        <v>45755</v>
      </c>
      <c r="G247" s="121" t="s">
        <v>123</v>
      </c>
      <c r="H247" s="39" t="str">
        <f>_xlfn.XLOOKUP(Table6[[#This Row],[Affected WTG]],'Basic Data'!$A:$A,'Basic Data'!$B:$B)</f>
        <v>PWEGPL</v>
      </c>
      <c r="I247" s="39" t="str">
        <f>_xlfn.XLOOKUP(Table6[[#This Row],[Affected WTG]],'Basic Data'!$A:$A,'Basic Data'!$C:$C)</f>
        <v>MSEDCL</v>
      </c>
      <c r="J247" s="363">
        <f>IFERROR(VLOOKUP(Table6[[#This Row],[Affected WTG]],'Basic Data'!$A$3:$E$56,5,0),"")</f>
        <v>2.564102564102564E-2</v>
      </c>
      <c r="K247" s="121">
        <v>5203</v>
      </c>
      <c r="L247" s="39" t="str">
        <f>IFERROR(VLOOKUP(Table6[[#This Row],[Error Code]],'Basic Data'!$T:$U,2,0),"")</f>
        <v>Heating/Coolant Thermal Magnetic Failure</v>
      </c>
      <c r="M247" s="364" t="s">
        <v>462</v>
      </c>
      <c r="O247" s="365">
        <v>0.80486111111111114</v>
      </c>
      <c r="P247" s="365">
        <v>0.96458333333333335</v>
      </c>
      <c r="Q247" s="365">
        <v>0.99930555555555556</v>
      </c>
      <c r="R247" s="366">
        <f>IF(Table6[[#This Row],[Work Start TimeStamp]]="","",(Table6[[#This Row],[Work Start TimeStamp]]-Table6[[#This Row],[Fault Start TimeStamp]])*24)</f>
        <v>3.833333333333333</v>
      </c>
      <c r="S247" s="367">
        <f>(Table6[[#This Row],[Fault Clearance time]]-Table6[[#This Row],[Work Start TimeStamp]])*24</f>
        <v>0.83333333333333304</v>
      </c>
      <c r="T247" s="368">
        <f>(Table6[[#This Row],[Fault Clearance time]]-Table6[[#This Row],[Fault Start TimeStamp]])*24</f>
        <v>4.6666666666666661</v>
      </c>
      <c r="U247" s="364" t="s">
        <v>500</v>
      </c>
      <c r="V247" s="369" t="s">
        <v>473</v>
      </c>
      <c r="W247" s="354">
        <f>Table6[[#This Row],[Breakdown Time]]*(1/39)</f>
        <v>0.11965811965811964</v>
      </c>
      <c r="X247" s="352" t="s">
        <v>465</v>
      </c>
      <c r="Y247" s="370" t="s">
        <v>126</v>
      </c>
      <c r="Z247" s="121">
        <v>4310</v>
      </c>
      <c r="AA247" s="123">
        <v>838.05555555555554</v>
      </c>
      <c r="AB247" s="121" t="s">
        <v>478</v>
      </c>
    </row>
    <row r="248" spans="1:28">
      <c r="A248" s="121">
        <f t="shared" si="3"/>
        <v>247</v>
      </c>
      <c r="B248" s="123">
        <f>YEAR(Table6[[#This Row],[Date]])+IF(MONTH(Table6[[#This Row],[Date]])&gt;=4,1,0)</f>
        <v>2026</v>
      </c>
      <c r="C248" s="121">
        <f>YEAR(Table6[[#This Row],[Date]])</f>
        <v>2025</v>
      </c>
      <c r="D248" s="121" t="s">
        <v>490</v>
      </c>
      <c r="E248" s="135">
        <f>Table6[[#This Row],[Date]]-DAY(Table6[[#This Row],[Date]])+1</f>
        <v>45748</v>
      </c>
      <c r="F248" s="134">
        <v>45755</v>
      </c>
      <c r="G248" s="121" t="s">
        <v>124</v>
      </c>
      <c r="H248" s="39" t="str">
        <f>_xlfn.XLOOKUP(Table6[[#This Row],[Affected WTG]],'Basic Data'!$A:$A,'Basic Data'!$B:$B)</f>
        <v>PWEGPL</v>
      </c>
      <c r="I248" s="39" t="str">
        <f>_xlfn.XLOOKUP(Table6[[#This Row],[Affected WTG]],'Basic Data'!$A:$A,'Basic Data'!$C:$C)</f>
        <v>MSEDCL</v>
      </c>
      <c r="J248" s="363">
        <f>IFERROR(VLOOKUP(Table6[[#This Row],[Affected WTG]],'Basic Data'!$A$3:$E$56,5,0),"")</f>
        <v>2.564102564102564E-2</v>
      </c>
      <c r="K248" s="121">
        <v>527</v>
      </c>
      <c r="L248" s="39" t="str">
        <f>IFERROR(VLOOKUP(Table6[[#This Row],[Error Code]],'Basic Data'!$T:$U,2,0),"")</f>
        <v>High Temperature Of Upper Radiator</v>
      </c>
      <c r="M248" s="364" t="s">
        <v>462</v>
      </c>
      <c r="O248" s="365">
        <v>0.98958333333333337</v>
      </c>
      <c r="P248" s="365">
        <v>0.98958333333333337</v>
      </c>
      <c r="Q248" s="365">
        <v>0.99305555555555558</v>
      </c>
      <c r="R248" s="366">
        <f>IF(Table6[[#This Row],[Work Start TimeStamp]]="","",(Table6[[#This Row],[Work Start TimeStamp]]-Table6[[#This Row],[Fault Start TimeStamp]])*24)</f>
        <v>0</v>
      </c>
      <c r="S248" s="367">
        <f>(Table6[[#This Row],[Fault Clearance time]]-Table6[[#This Row],[Work Start TimeStamp]])*24</f>
        <v>8.3333333333333037E-2</v>
      </c>
      <c r="T248" s="368">
        <f>(Table6[[#This Row],[Fault Clearance time]]-Table6[[#This Row],[Fault Start TimeStamp]])*24</f>
        <v>8.3333333333333037E-2</v>
      </c>
      <c r="U248" s="364" t="s">
        <v>480</v>
      </c>
      <c r="V248" s="369" t="s">
        <v>463</v>
      </c>
      <c r="W248" s="354">
        <f>Table6[[#This Row],[Breakdown Time]]*(1/39)</f>
        <v>2.1367521367521292E-3</v>
      </c>
      <c r="X248" s="352" t="s">
        <v>465</v>
      </c>
      <c r="Y248" s="370" t="s">
        <v>125</v>
      </c>
      <c r="Z248" s="121">
        <v>4460</v>
      </c>
      <c r="AA248" s="123">
        <v>15.486111111111057</v>
      </c>
      <c r="AB248" s="121" t="s">
        <v>478</v>
      </c>
    </row>
    <row r="249" spans="1:28">
      <c r="A249" s="121">
        <f t="shared" si="3"/>
        <v>248</v>
      </c>
      <c r="B249" s="123">
        <f>YEAR(Table6[[#This Row],[Date]])+IF(MONTH(Table6[[#This Row],[Date]])&gt;=4,1,0)</f>
        <v>2026</v>
      </c>
      <c r="C249" s="121">
        <f>YEAR(Table6[[#This Row],[Date]])</f>
        <v>2025</v>
      </c>
      <c r="D249" s="121" t="s">
        <v>490</v>
      </c>
      <c r="E249" s="135">
        <f>Table6[[#This Row],[Date]]-DAY(Table6[[#This Row],[Date]])+1</f>
        <v>45748</v>
      </c>
      <c r="F249" s="134">
        <v>45755</v>
      </c>
      <c r="G249" s="121" t="s">
        <v>125</v>
      </c>
      <c r="H249" s="39" t="str">
        <f>_xlfn.XLOOKUP(Table6[[#This Row],[Affected WTG]],'Basic Data'!$A:$A,'Basic Data'!$B:$B)</f>
        <v>PWEGPL</v>
      </c>
      <c r="I249" s="39" t="str">
        <f>_xlfn.XLOOKUP(Table6[[#This Row],[Affected WTG]],'Basic Data'!$A:$A,'Basic Data'!$C:$C)</f>
        <v>MSEDCL</v>
      </c>
      <c r="J249" s="363">
        <f>IFERROR(VLOOKUP(Table6[[#This Row],[Affected WTG]],'Basic Data'!$A$3:$E$56,5,0),"")</f>
        <v>2.564102564102564E-2</v>
      </c>
      <c r="K249" s="121">
        <v>577</v>
      </c>
      <c r="L249" s="39" t="str">
        <f>IFERROR(VLOOKUP(Table6[[#This Row],[Error Code]],'Basic Data'!$T:$U,2,0),"")</f>
        <v>Slipping Rings Fan Or Heating Resistor Failure</v>
      </c>
      <c r="M249" s="364" t="s">
        <v>462</v>
      </c>
      <c r="O249" s="365">
        <v>0.38472222222222224</v>
      </c>
      <c r="P249" s="365">
        <v>0.47499999999999998</v>
      </c>
      <c r="Q249" s="365">
        <v>0.55972222222222223</v>
      </c>
      <c r="R249" s="366">
        <f>IF(Table6[[#This Row],[Work Start TimeStamp]]="","",(Table6[[#This Row],[Work Start TimeStamp]]-Table6[[#This Row],[Fault Start TimeStamp]])*24)</f>
        <v>2.1666666666666656</v>
      </c>
      <c r="S249" s="367">
        <f>(Table6[[#This Row],[Fault Clearance time]]-Table6[[#This Row],[Work Start TimeStamp]])*24</f>
        <v>2.0333333333333341</v>
      </c>
      <c r="T249" s="368">
        <f>(Table6[[#This Row],[Fault Clearance time]]-Table6[[#This Row],[Fault Start TimeStamp]])*24</f>
        <v>4.1999999999999993</v>
      </c>
      <c r="U249" s="364" t="s">
        <v>536</v>
      </c>
      <c r="V249" s="369" t="s">
        <v>463</v>
      </c>
      <c r="W249" s="354">
        <f>Table6[[#This Row],[Breakdown Time]]*(1/39)</f>
        <v>0.10769230769230767</v>
      </c>
      <c r="X249" s="352" t="s">
        <v>465</v>
      </c>
      <c r="Y249" s="370" t="s">
        <v>124</v>
      </c>
      <c r="Z249" s="121">
        <v>4112</v>
      </c>
      <c r="AA249" s="123">
        <v>719.59999999999991</v>
      </c>
      <c r="AB249" s="121" t="s">
        <v>478</v>
      </c>
    </row>
    <row r="250" spans="1:28">
      <c r="A250" s="121">
        <f t="shared" si="3"/>
        <v>249</v>
      </c>
      <c r="B250" s="123">
        <f>YEAR(Table6[[#This Row],[Date]])+IF(MONTH(Table6[[#This Row],[Date]])&gt;=4,1,0)</f>
        <v>2026</v>
      </c>
      <c r="C250" s="121">
        <f>YEAR(Table6[[#This Row],[Date]])</f>
        <v>2025</v>
      </c>
      <c r="D250" s="121" t="s">
        <v>490</v>
      </c>
      <c r="E250" s="135">
        <f>Table6[[#This Row],[Date]]-DAY(Table6[[#This Row],[Date]])+1</f>
        <v>45748</v>
      </c>
      <c r="F250" s="134">
        <v>45755</v>
      </c>
      <c r="G250" s="121" t="s">
        <v>127</v>
      </c>
      <c r="H250" s="39" t="str">
        <f>_xlfn.XLOOKUP(Table6[[#This Row],[Affected WTG]],'Basic Data'!$A:$A,'Basic Data'!$B:$B)</f>
        <v>PWEGPL</v>
      </c>
      <c r="I250" s="39" t="str">
        <f>_xlfn.XLOOKUP(Table6[[#This Row],[Affected WTG]],'Basic Data'!$A:$A,'Basic Data'!$C:$C)</f>
        <v>MSEDCL</v>
      </c>
      <c r="J250" s="363">
        <f>IFERROR(VLOOKUP(Table6[[#This Row],[Affected WTG]],'Basic Data'!$A$3:$E$56,5,0),"")</f>
        <v>2.564102564102564E-2</v>
      </c>
      <c r="K250" s="121">
        <v>500</v>
      </c>
      <c r="L250" s="39" t="str">
        <f>IFERROR(VLOOKUP(Table6[[#This Row],[Error Code]],'Basic Data'!$T:$U,2,0),"")</f>
        <v>High Generator Winding Temperature</v>
      </c>
      <c r="M250" s="364" t="s">
        <v>462</v>
      </c>
      <c r="O250" s="365">
        <v>0.99513888888888891</v>
      </c>
      <c r="P250" s="365">
        <v>0.99513888888888891</v>
      </c>
      <c r="Q250" s="365">
        <v>0.99861111111111112</v>
      </c>
      <c r="R250" s="366">
        <f>IF(Table6[[#This Row],[Work Start TimeStamp]]="","",(Table6[[#This Row],[Work Start TimeStamp]]-Table6[[#This Row],[Fault Start TimeStamp]])*24)</f>
        <v>0</v>
      </c>
      <c r="S250" s="367">
        <f>(Table6[[#This Row],[Fault Clearance time]]-Table6[[#This Row],[Work Start TimeStamp]])*24</f>
        <v>8.3333333333333037E-2</v>
      </c>
      <c r="T250" s="368">
        <f>(Table6[[#This Row],[Fault Clearance time]]-Table6[[#This Row],[Fault Start TimeStamp]])*24</f>
        <v>8.3333333333333037E-2</v>
      </c>
      <c r="U250" s="364" t="s">
        <v>480</v>
      </c>
      <c r="V250" s="369" t="s">
        <v>463</v>
      </c>
      <c r="W250" s="354">
        <f>Table6[[#This Row],[Breakdown Time]]*(1/39)</f>
        <v>2.1367521367521292E-3</v>
      </c>
      <c r="X250" s="352" t="s">
        <v>465</v>
      </c>
      <c r="Y250" s="370" t="s">
        <v>126</v>
      </c>
      <c r="Z250" s="121">
        <v>4310</v>
      </c>
      <c r="AA250" s="123">
        <v>14.965277777777725</v>
      </c>
      <c r="AB250" s="121" t="s">
        <v>478</v>
      </c>
    </row>
    <row r="251" spans="1:28">
      <c r="A251" s="121">
        <f t="shared" si="3"/>
        <v>250</v>
      </c>
      <c r="B251" s="123">
        <f>YEAR(Table6[[#This Row],[Date]])+IF(MONTH(Table6[[#This Row],[Date]])&gt;=4,1,0)</f>
        <v>2026</v>
      </c>
      <c r="C251" s="121">
        <f>YEAR(Table6[[#This Row],[Date]])</f>
        <v>2025</v>
      </c>
      <c r="D251" s="121" t="s">
        <v>490</v>
      </c>
      <c r="E251" s="135">
        <f>Table6[[#This Row],[Date]]-DAY(Table6[[#This Row],[Date]])+1</f>
        <v>45748</v>
      </c>
      <c r="F251" s="134">
        <v>45755</v>
      </c>
      <c r="G251" s="121" t="s">
        <v>128</v>
      </c>
      <c r="H251" s="39" t="str">
        <f>_xlfn.XLOOKUP(Table6[[#This Row],[Affected WTG]],'Basic Data'!$A:$A,'Basic Data'!$B:$B)</f>
        <v>PWEGPL</v>
      </c>
      <c r="I251" s="39" t="str">
        <f>_xlfn.XLOOKUP(Table6[[#This Row],[Affected WTG]],'Basic Data'!$A:$A,'Basic Data'!$C:$C)</f>
        <v>MSEDCL</v>
      </c>
      <c r="J251" s="363">
        <f>IFERROR(VLOOKUP(Table6[[#This Row],[Affected WTG]],'Basic Data'!$A$3:$E$56,5,0),"")</f>
        <v>2.564102564102564E-2</v>
      </c>
      <c r="K251" s="121">
        <v>203</v>
      </c>
      <c r="L251" s="39" t="str">
        <f>IFERROR(VLOOKUP(Table6[[#This Row],[Error Code]],'Basic Data'!$T:$U,2,0),"")</f>
        <v>Low Pressure On Hydraulic Group</v>
      </c>
      <c r="M251" s="364" t="s">
        <v>462</v>
      </c>
      <c r="O251" s="365">
        <v>0.54722222222222228</v>
      </c>
      <c r="P251" s="365">
        <v>0.54722222222222228</v>
      </c>
      <c r="Q251" s="365">
        <v>0.55486111111111114</v>
      </c>
      <c r="R251" s="366">
        <f>IF(Table6[[#This Row],[Work Start TimeStamp]]="","",(Table6[[#This Row],[Work Start TimeStamp]]-Table6[[#This Row],[Fault Start TimeStamp]])*24)</f>
        <v>0</v>
      </c>
      <c r="S251" s="367">
        <f>(Table6[[#This Row],[Fault Clearance time]]-Table6[[#This Row],[Work Start TimeStamp]])*24</f>
        <v>0.18333333333333268</v>
      </c>
      <c r="T251" s="368">
        <f>(Table6[[#This Row],[Fault Clearance time]]-Table6[[#This Row],[Fault Start TimeStamp]])*24</f>
        <v>0.18333333333333268</v>
      </c>
      <c r="U251" s="364" t="s">
        <v>480</v>
      </c>
      <c r="V251" s="369" t="s">
        <v>463</v>
      </c>
      <c r="W251" s="354">
        <f>Table6[[#This Row],[Breakdown Time]]*(1/39)</f>
        <v>4.7008547008546842E-3</v>
      </c>
      <c r="X251" s="352" t="s">
        <v>465</v>
      </c>
      <c r="Y251" s="370" t="s">
        <v>129</v>
      </c>
      <c r="Z251" s="121">
        <v>1155</v>
      </c>
      <c r="AA251" s="123">
        <v>8.8229166666666359</v>
      </c>
      <c r="AB251" s="121" t="s">
        <v>478</v>
      </c>
    </row>
    <row r="252" spans="1:28">
      <c r="A252" s="121">
        <f t="shared" si="3"/>
        <v>251</v>
      </c>
      <c r="B252" s="123">
        <f>YEAR(Table6[[#This Row],[Date]])+IF(MONTH(Table6[[#This Row],[Date]])&gt;=4,1,0)</f>
        <v>2026</v>
      </c>
      <c r="C252" s="121">
        <f>YEAR(Table6[[#This Row],[Date]])</f>
        <v>2025</v>
      </c>
      <c r="D252" s="121" t="s">
        <v>490</v>
      </c>
      <c r="E252" s="135">
        <f>Table6[[#This Row],[Date]]-DAY(Table6[[#This Row],[Date]])+1</f>
        <v>45748</v>
      </c>
      <c r="F252" s="134">
        <v>45755</v>
      </c>
      <c r="G252" s="121" t="s">
        <v>130</v>
      </c>
      <c r="H252" s="39" t="str">
        <f>_xlfn.XLOOKUP(Table6[[#This Row],[Affected WTG]],'Basic Data'!$A:$A,'Basic Data'!$B:$B)</f>
        <v>PWEGPL</v>
      </c>
      <c r="I252" s="39" t="str">
        <f>_xlfn.XLOOKUP(Table6[[#This Row],[Affected WTG]],'Basic Data'!$A:$A,'Basic Data'!$C:$C)</f>
        <v>MSEDCL</v>
      </c>
      <c r="J252" s="363">
        <f>IFERROR(VLOOKUP(Table6[[#This Row],[Affected WTG]],'Basic Data'!$A$3:$E$56,5,0),"")</f>
        <v>2.564102564102564E-2</v>
      </c>
      <c r="K252" s="121">
        <v>5248</v>
      </c>
      <c r="L252" s="39" t="str">
        <f>IFERROR(VLOOKUP(Table6[[#This Row],[Error Code]],'Basic Data'!$T:$U,2,0),"")</f>
        <v>Active Crowbar IGBT Errors</v>
      </c>
      <c r="M252" s="364" t="s">
        <v>462</v>
      </c>
      <c r="O252" s="365">
        <v>0</v>
      </c>
      <c r="P252" s="365">
        <v>0</v>
      </c>
      <c r="Q252" s="365">
        <v>0.99930555555555556</v>
      </c>
      <c r="R252" s="366">
        <f>IF(Table6[[#This Row],[Work Start TimeStamp]]="","",(Table6[[#This Row],[Work Start TimeStamp]]-Table6[[#This Row],[Fault Start TimeStamp]])*24)</f>
        <v>0</v>
      </c>
      <c r="S252" s="367">
        <f>(Table6[[#This Row],[Fault Clearance time]]-Table6[[#This Row],[Work Start TimeStamp]])*24</f>
        <v>23.983333333333334</v>
      </c>
      <c r="T252" s="368">
        <f>(Table6[[#This Row],[Fault Clearance time]]-Table6[[#This Row],[Fault Start TimeStamp]])*24</f>
        <v>23.983333333333334</v>
      </c>
      <c r="U252" s="364" t="s">
        <v>500</v>
      </c>
      <c r="V252" s="369" t="s">
        <v>473</v>
      </c>
      <c r="W252" s="354">
        <f>Table6[[#This Row],[Breakdown Time]]*(1/39)</f>
        <v>0.61495726495726499</v>
      </c>
      <c r="X252" s="352" t="s">
        <v>465</v>
      </c>
      <c r="Y252" s="370" t="s">
        <v>129</v>
      </c>
      <c r="Z252" s="121">
        <v>1155</v>
      </c>
      <c r="AA252" s="123">
        <v>1154.1979166666667</v>
      </c>
      <c r="AB252" s="121" t="s">
        <v>478</v>
      </c>
    </row>
    <row r="253" spans="1:28">
      <c r="A253" s="121">
        <f t="shared" si="3"/>
        <v>252</v>
      </c>
      <c r="B253" s="123">
        <f>YEAR(Table6[[#This Row],[Date]])+IF(MONTH(Table6[[#This Row],[Date]])&gt;=4,1,0)</f>
        <v>2026</v>
      </c>
      <c r="C253" s="121">
        <f>YEAR(Table6[[#This Row],[Date]])</f>
        <v>2025</v>
      </c>
      <c r="D253" s="121" t="s">
        <v>490</v>
      </c>
      <c r="E253" s="135">
        <f>Table6[[#This Row],[Date]]-DAY(Table6[[#This Row],[Date]])+1</f>
        <v>45748</v>
      </c>
      <c r="F253" s="134">
        <v>45755</v>
      </c>
      <c r="G253" s="121" t="s">
        <v>137</v>
      </c>
      <c r="H253" s="39" t="str">
        <f>_xlfn.XLOOKUP(Table6[[#This Row],[Affected WTG]],'Basic Data'!$A:$A,'Basic Data'!$B:$B)</f>
        <v>PWEGPL</v>
      </c>
      <c r="I253" s="39" t="str">
        <f>_xlfn.XLOOKUP(Table6[[#This Row],[Affected WTG]],'Basic Data'!$A:$A,'Basic Data'!$C:$C)</f>
        <v>MSEDCL</v>
      </c>
      <c r="J253" s="363">
        <f>IFERROR(VLOOKUP(Table6[[#This Row],[Affected WTG]],'Basic Data'!$A$3:$E$56,5,0),"")</f>
        <v>2.564102564102564E-2</v>
      </c>
      <c r="K253" s="121">
        <v>2106</v>
      </c>
      <c r="L253" s="39" t="str">
        <f>IFERROR(VLOOKUP(Table6[[#This Row],[Error Code]],'Basic Data'!$T:$U,2,0),"")</f>
        <v>Temp. Measurement Module Failure</v>
      </c>
      <c r="M253" s="364" t="s">
        <v>462</v>
      </c>
      <c r="O253" s="365">
        <v>0.17986111111111111</v>
      </c>
      <c r="P253" s="365">
        <v>0.17986111111111111</v>
      </c>
      <c r="Q253" s="365">
        <v>0.18333333333333332</v>
      </c>
      <c r="R253" s="366">
        <f>IF(Table6[[#This Row],[Work Start TimeStamp]]="","",(Table6[[#This Row],[Work Start TimeStamp]]-Table6[[#This Row],[Fault Start TimeStamp]])*24)</f>
        <v>0</v>
      </c>
      <c r="S253" s="367">
        <f>(Table6[[#This Row],[Fault Clearance time]]-Table6[[#This Row],[Work Start TimeStamp]])*24</f>
        <v>8.3333333333333037E-2</v>
      </c>
      <c r="T253" s="368">
        <f>(Table6[[#This Row],[Fault Clearance time]]-Table6[[#This Row],[Fault Start TimeStamp]])*24</f>
        <v>8.3333333333333037E-2</v>
      </c>
      <c r="U253" s="364" t="s">
        <v>480</v>
      </c>
      <c r="V253" s="369" t="s">
        <v>463</v>
      </c>
      <c r="W253" s="354">
        <f>Table6[[#This Row],[Breakdown Time]]*(1/39)</f>
        <v>2.1367521367521292E-3</v>
      </c>
      <c r="X253" s="352" t="s">
        <v>465</v>
      </c>
      <c r="Y253" s="370" t="s">
        <v>119</v>
      </c>
      <c r="Z253" s="121">
        <v>4046</v>
      </c>
      <c r="AA253" s="123">
        <v>14.048611111111063</v>
      </c>
      <c r="AB253" s="121" t="s">
        <v>478</v>
      </c>
    </row>
    <row r="254" spans="1:28">
      <c r="A254" s="121">
        <f t="shared" si="3"/>
        <v>253</v>
      </c>
      <c r="B254" s="123">
        <f>YEAR(Table6[[#This Row],[Date]])+IF(MONTH(Table6[[#This Row],[Date]])&gt;=4,1,0)</f>
        <v>2026</v>
      </c>
      <c r="C254" s="121">
        <f>YEAR(Table6[[#This Row],[Date]])</f>
        <v>2025</v>
      </c>
      <c r="D254" s="121" t="s">
        <v>490</v>
      </c>
      <c r="E254" s="135">
        <f>Table6[[#This Row],[Date]]-DAY(Table6[[#This Row],[Date]])+1</f>
        <v>45748</v>
      </c>
      <c r="F254" s="134">
        <v>45755</v>
      </c>
      <c r="G254" s="121" t="s">
        <v>137</v>
      </c>
      <c r="H254" s="39" t="str">
        <f>_xlfn.XLOOKUP(Table6[[#This Row],[Affected WTG]],'Basic Data'!$A:$A,'Basic Data'!$B:$B)</f>
        <v>PWEGPL</v>
      </c>
      <c r="I254" s="39" t="str">
        <f>_xlfn.XLOOKUP(Table6[[#This Row],[Affected WTG]],'Basic Data'!$A:$A,'Basic Data'!$C:$C)</f>
        <v>MSEDCL</v>
      </c>
      <c r="J254" s="363">
        <f>IFERROR(VLOOKUP(Table6[[#This Row],[Affected WTG]],'Basic Data'!$A$3:$E$56,5,0),"")</f>
        <v>2.564102564102564E-2</v>
      </c>
      <c r="K254" s="121">
        <v>501</v>
      </c>
      <c r="L254" s="39" t="str">
        <f>IFERROR(VLOOKUP(Table6[[#This Row],[Error Code]],'Basic Data'!$T:$U,2,0),"")</f>
        <v>Generator DE Bearing High Temperature Alarm</v>
      </c>
      <c r="M254" s="364" t="s">
        <v>462</v>
      </c>
      <c r="O254" s="365">
        <v>0.1875</v>
      </c>
      <c r="P254" s="365">
        <v>0.1875</v>
      </c>
      <c r="Q254" s="365">
        <v>0.19097222222222221</v>
      </c>
      <c r="R254" s="366">
        <f>IF(Table6[[#This Row],[Work Start TimeStamp]]="","",(Table6[[#This Row],[Work Start TimeStamp]]-Table6[[#This Row],[Fault Start TimeStamp]])*24)</f>
        <v>0</v>
      </c>
      <c r="S254" s="367">
        <f>(Table6[[#This Row],[Fault Clearance time]]-Table6[[#This Row],[Work Start TimeStamp]])*24</f>
        <v>8.3333333333333037E-2</v>
      </c>
      <c r="T254" s="368">
        <f>(Table6[[#This Row],[Fault Clearance time]]-Table6[[#This Row],[Fault Start TimeStamp]])*24</f>
        <v>8.3333333333333037E-2</v>
      </c>
      <c r="U254" s="364" t="s">
        <v>480</v>
      </c>
      <c r="V254" s="369" t="s">
        <v>463</v>
      </c>
      <c r="W254" s="354">
        <f>Table6[[#This Row],[Breakdown Time]]*(1/39)</f>
        <v>2.1367521367521292E-3</v>
      </c>
      <c r="X254" s="352" t="s">
        <v>465</v>
      </c>
      <c r="Y254" s="370" t="s">
        <v>119</v>
      </c>
      <c r="Z254" s="121">
        <v>4046</v>
      </c>
      <c r="AA254" s="123">
        <v>14.048611111111063</v>
      </c>
      <c r="AB254" s="121" t="s">
        <v>478</v>
      </c>
    </row>
    <row r="255" spans="1:28">
      <c r="A255" s="121">
        <f t="shared" si="3"/>
        <v>254</v>
      </c>
      <c r="B255" s="123">
        <f>YEAR(Table6[[#This Row],[Date]])+IF(MONTH(Table6[[#This Row],[Date]])&gt;=4,1,0)</f>
        <v>2026</v>
      </c>
      <c r="C255" s="121">
        <f>YEAR(Table6[[#This Row],[Date]])</f>
        <v>2025</v>
      </c>
      <c r="D255" s="121" t="s">
        <v>490</v>
      </c>
      <c r="E255" s="135">
        <f>Table6[[#This Row],[Date]]-DAY(Table6[[#This Row],[Date]])+1</f>
        <v>45748</v>
      </c>
      <c r="F255" s="134">
        <v>45755</v>
      </c>
      <c r="G255" s="121" t="s">
        <v>137</v>
      </c>
      <c r="H255" s="39" t="str">
        <f>_xlfn.XLOOKUP(Table6[[#This Row],[Affected WTG]],'Basic Data'!$A:$A,'Basic Data'!$B:$B)</f>
        <v>PWEGPL</v>
      </c>
      <c r="I255" s="39" t="str">
        <f>_xlfn.XLOOKUP(Table6[[#This Row],[Affected WTG]],'Basic Data'!$A:$A,'Basic Data'!$C:$C)</f>
        <v>MSEDCL</v>
      </c>
      <c r="J255" s="363">
        <f>IFERROR(VLOOKUP(Table6[[#This Row],[Affected WTG]],'Basic Data'!$A$3:$E$56,5,0),"")</f>
        <v>2.564102564102564E-2</v>
      </c>
      <c r="K255" s="121">
        <v>2106</v>
      </c>
      <c r="L255" s="39" t="str">
        <f>IFERROR(VLOOKUP(Table6[[#This Row],[Error Code]],'Basic Data'!$T:$U,2,0),"")</f>
        <v>Temp. Measurement Module Failure</v>
      </c>
      <c r="M255" s="364" t="s">
        <v>462</v>
      </c>
      <c r="O255" s="365">
        <v>0.25972222222222224</v>
      </c>
      <c r="P255" s="365">
        <v>0.25972222222222224</v>
      </c>
      <c r="Q255" s="365">
        <v>0.27361111111111114</v>
      </c>
      <c r="R255" s="366">
        <f>IF(Table6[[#This Row],[Work Start TimeStamp]]="","",(Table6[[#This Row],[Work Start TimeStamp]]-Table6[[#This Row],[Fault Start TimeStamp]])*24)</f>
        <v>0</v>
      </c>
      <c r="S255" s="367">
        <f>(Table6[[#This Row],[Fault Clearance time]]-Table6[[#This Row],[Work Start TimeStamp]])*24</f>
        <v>0.33333333333333348</v>
      </c>
      <c r="T255" s="368">
        <f>(Table6[[#This Row],[Fault Clearance time]]-Table6[[#This Row],[Fault Start TimeStamp]])*24</f>
        <v>0.33333333333333348</v>
      </c>
      <c r="U255" s="364" t="s">
        <v>480</v>
      </c>
      <c r="V255" s="369" t="s">
        <v>463</v>
      </c>
      <c r="W255" s="354">
        <f>Table6[[#This Row],[Breakdown Time]]*(1/39)</f>
        <v>8.5470085470085513E-3</v>
      </c>
      <c r="X255" s="352" t="s">
        <v>465</v>
      </c>
      <c r="Y255" s="370" t="s">
        <v>119</v>
      </c>
      <c r="Z255" s="121">
        <v>4046</v>
      </c>
      <c r="AA255" s="123">
        <v>56.194444444444471</v>
      </c>
      <c r="AB255" s="121" t="s">
        <v>478</v>
      </c>
    </row>
    <row r="256" spans="1:28">
      <c r="A256" s="121">
        <f t="shared" si="3"/>
        <v>255</v>
      </c>
      <c r="B256" s="123">
        <f>YEAR(Table6[[#This Row],[Date]])+IF(MONTH(Table6[[#This Row],[Date]])&gt;=4,1,0)</f>
        <v>2026</v>
      </c>
      <c r="C256" s="121">
        <f>YEAR(Table6[[#This Row],[Date]])</f>
        <v>2025</v>
      </c>
      <c r="D256" s="121" t="s">
        <v>490</v>
      </c>
      <c r="E256" s="135">
        <f>Table6[[#This Row],[Date]]-DAY(Table6[[#This Row],[Date]])+1</f>
        <v>45748</v>
      </c>
      <c r="F256" s="134">
        <v>45755</v>
      </c>
      <c r="G256" s="121" t="s">
        <v>137</v>
      </c>
      <c r="H256" s="39" t="str">
        <f>_xlfn.XLOOKUP(Table6[[#This Row],[Affected WTG]],'Basic Data'!$A:$A,'Basic Data'!$B:$B)</f>
        <v>PWEGPL</v>
      </c>
      <c r="I256" s="39" t="str">
        <f>_xlfn.XLOOKUP(Table6[[#This Row],[Affected WTG]],'Basic Data'!$A:$A,'Basic Data'!$C:$C)</f>
        <v>MSEDCL</v>
      </c>
      <c r="J256" s="363">
        <f>IFERROR(VLOOKUP(Table6[[#This Row],[Affected WTG]],'Basic Data'!$A$3:$E$56,5,0),"")</f>
        <v>2.564102564102564E-2</v>
      </c>
      <c r="K256" s="121">
        <v>2106</v>
      </c>
      <c r="L256" s="39" t="str">
        <f>IFERROR(VLOOKUP(Table6[[#This Row],[Error Code]],'Basic Data'!$T:$U,2,0),"")</f>
        <v>Temp. Measurement Module Failure</v>
      </c>
      <c r="M256" s="364" t="s">
        <v>462</v>
      </c>
      <c r="O256" s="365">
        <v>0.38194444444444442</v>
      </c>
      <c r="P256" s="365">
        <v>0.38194444444444442</v>
      </c>
      <c r="Q256" s="365">
        <v>0.38750000000000001</v>
      </c>
      <c r="R256" s="366">
        <f>IF(Table6[[#This Row],[Work Start TimeStamp]]="","",(Table6[[#This Row],[Work Start TimeStamp]]-Table6[[#This Row],[Fault Start TimeStamp]])*24)</f>
        <v>0</v>
      </c>
      <c r="S256" s="367">
        <f>(Table6[[#This Row],[Fault Clearance time]]-Table6[[#This Row],[Work Start TimeStamp]])*24</f>
        <v>0.13333333333333419</v>
      </c>
      <c r="T256" s="368">
        <f>(Table6[[#This Row],[Fault Clearance time]]-Table6[[#This Row],[Fault Start TimeStamp]])*24</f>
        <v>0.13333333333333419</v>
      </c>
      <c r="U256" s="364" t="s">
        <v>480</v>
      </c>
      <c r="V256" s="369" t="s">
        <v>463</v>
      </c>
      <c r="W256" s="354">
        <f>Table6[[#This Row],[Breakdown Time]]*(1/39)</f>
        <v>3.4188034188034405E-3</v>
      </c>
      <c r="X256" s="352" t="s">
        <v>465</v>
      </c>
      <c r="Y256" s="370" t="s">
        <v>119</v>
      </c>
      <c r="Z256" s="121">
        <v>4046</v>
      </c>
      <c r="AA256" s="123">
        <v>22.477777777777924</v>
      </c>
      <c r="AB256" s="121" t="s">
        <v>478</v>
      </c>
    </row>
    <row r="257" spans="1:28">
      <c r="A257" s="121">
        <f t="shared" si="3"/>
        <v>256</v>
      </c>
      <c r="B257" s="123">
        <f>YEAR(Table6[[#This Row],[Date]])+IF(MONTH(Table6[[#This Row],[Date]])&gt;=4,1,0)</f>
        <v>2026</v>
      </c>
      <c r="C257" s="121">
        <f>YEAR(Table6[[#This Row],[Date]])</f>
        <v>2025</v>
      </c>
      <c r="D257" s="121" t="s">
        <v>490</v>
      </c>
      <c r="E257" s="135">
        <f>Table6[[#This Row],[Date]]-DAY(Table6[[#This Row],[Date]])+1</f>
        <v>45748</v>
      </c>
      <c r="F257" s="134">
        <v>45755</v>
      </c>
      <c r="G257" s="121" t="s">
        <v>139</v>
      </c>
      <c r="H257" s="39" t="str">
        <f>_xlfn.XLOOKUP(Table6[[#This Row],[Affected WTG]],'Basic Data'!$A:$A,'Basic Data'!$B:$B)</f>
        <v>PWEGPL</v>
      </c>
      <c r="I257" s="39" t="str">
        <f>_xlfn.XLOOKUP(Table6[[#This Row],[Affected WTG]],'Basic Data'!$A:$A,'Basic Data'!$C:$C)</f>
        <v>MSEDCL</v>
      </c>
      <c r="J257" s="363">
        <f>IFERROR(VLOOKUP(Table6[[#This Row],[Affected WTG]],'Basic Data'!$A$3:$E$56,5,0),"")</f>
        <v>2.564102564102564E-2</v>
      </c>
      <c r="K257" s="121">
        <v>527</v>
      </c>
      <c r="L257" s="39" t="str">
        <f>IFERROR(VLOOKUP(Table6[[#This Row],[Error Code]],'Basic Data'!$T:$U,2,0),"")</f>
        <v>High Temperature Of Upper Radiator</v>
      </c>
      <c r="M257" s="364" t="s">
        <v>462</v>
      </c>
      <c r="O257" s="365">
        <v>0.99791666666666667</v>
      </c>
      <c r="P257" s="365">
        <v>0.99791666666666667</v>
      </c>
      <c r="Q257" s="365">
        <v>0.99930555555555556</v>
      </c>
      <c r="R257" s="366">
        <f>IF(Table6[[#This Row],[Work Start TimeStamp]]="","",(Table6[[#This Row],[Work Start TimeStamp]]-Table6[[#This Row],[Fault Start TimeStamp]])*24)</f>
        <v>0</v>
      </c>
      <c r="S257" s="367">
        <f>(Table6[[#This Row],[Fault Clearance time]]-Table6[[#This Row],[Work Start TimeStamp]])*24</f>
        <v>3.3333333333333215E-2</v>
      </c>
      <c r="T257" s="368">
        <f>(Table6[[#This Row],[Fault Clearance time]]-Table6[[#This Row],[Fault Start TimeStamp]])*24</f>
        <v>3.3333333333333215E-2</v>
      </c>
      <c r="U257" s="364" t="s">
        <v>480</v>
      </c>
      <c r="V257" s="369" t="s">
        <v>463</v>
      </c>
      <c r="W257" s="354">
        <f>Table6[[#This Row],[Breakdown Time]]*(1/39)</f>
        <v>8.5470085470085166E-4</v>
      </c>
      <c r="X257" s="352" t="s">
        <v>465</v>
      </c>
      <c r="Y257" s="370" t="s">
        <v>145</v>
      </c>
      <c r="Z257" s="121">
        <v>3788</v>
      </c>
      <c r="AA257" s="123">
        <v>5.2611111111110924</v>
      </c>
      <c r="AB257" s="121" t="s">
        <v>478</v>
      </c>
    </row>
    <row r="258" spans="1:28">
      <c r="A258" s="121">
        <f t="shared" si="3"/>
        <v>257</v>
      </c>
      <c r="B258" s="123">
        <f>YEAR(Table6[[#This Row],[Date]])+IF(MONTH(Table6[[#This Row],[Date]])&gt;=4,1,0)</f>
        <v>2026</v>
      </c>
      <c r="C258" s="121">
        <f>YEAR(Table6[[#This Row],[Date]])</f>
        <v>2025</v>
      </c>
      <c r="D258" s="121" t="s">
        <v>490</v>
      </c>
      <c r="E258" s="135">
        <f>Table6[[#This Row],[Date]]-DAY(Table6[[#This Row],[Date]])+1</f>
        <v>45748</v>
      </c>
      <c r="F258" s="134">
        <v>45755</v>
      </c>
      <c r="G258" s="121" t="s">
        <v>141</v>
      </c>
      <c r="H258" s="39" t="str">
        <f>_xlfn.XLOOKUP(Table6[[#This Row],[Affected WTG]],'Basic Data'!$A:$A,'Basic Data'!$B:$B)</f>
        <v>PWEGPL</v>
      </c>
      <c r="I258" s="39" t="str">
        <f>_xlfn.XLOOKUP(Table6[[#This Row],[Affected WTG]],'Basic Data'!$A:$A,'Basic Data'!$C:$C)</f>
        <v>MSEDCL</v>
      </c>
      <c r="J258" s="363">
        <f>IFERROR(VLOOKUP(Table6[[#This Row],[Affected WTG]],'Basic Data'!$A$3:$E$56,5,0),"")</f>
        <v>2.564102564102564E-2</v>
      </c>
      <c r="K258" s="121">
        <v>523</v>
      </c>
      <c r="L258" s="39" t="str">
        <f>IFERROR(VLOOKUP(Table6[[#This Row],[Error Code]],'Basic Data'!$T:$U,2,0),"")</f>
        <v>High Temperature Of Coolant In The Input Of The Cooling Circuit</v>
      </c>
      <c r="M258" s="364" t="s">
        <v>479</v>
      </c>
      <c r="O258" s="365">
        <v>0.47083333333333333</v>
      </c>
      <c r="P258" s="365">
        <v>0.47083333333333333</v>
      </c>
      <c r="Q258" s="365">
        <v>0.5180555555555556</v>
      </c>
      <c r="R258" s="366">
        <f>IF(Table6[[#This Row],[Work Start TimeStamp]]="","",(Table6[[#This Row],[Work Start TimeStamp]]-Table6[[#This Row],[Fault Start TimeStamp]])*24)</f>
        <v>0</v>
      </c>
      <c r="S258" s="367">
        <f>(Table6[[#This Row],[Fault Clearance time]]-Table6[[#This Row],[Work Start TimeStamp]])*24</f>
        <v>1.1333333333333346</v>
      </c>
      <c r="T258" s="368">
        <f>(Table6[[#This Row],[Fault Clearance time]]-Table6[[#This Row],[Fault Start TimeStamp]])*24</f>
        <v>1.1333333333333346</v>
      </c>
      <c r="U258" s="364" t="s">
        <v>537</v>
      </c>
      <c r="V258" s="369" t="s">
        <v>463</v>
      </c>
      <c r="W258" s="354">
        <f>Table6[[#This Row],[Breakdown Time]]*(1/39)</f>
        <v>2.9059829059829092E-2</v>
      </c>
      <c r="X258" s="352" t="s">
        <v>464</v>
      </c>
      <c r="Y258" s="370" t="s">
        <v>143</v>
      </c>
      <c r="Z258" s="121">
        <v>5106</v>
      </c>
      <c r="AA258" s="123">
        <v>241.11666666666693</v>
      </c>
      <c r="AB258" s="121" t="s">
        <v>478</v>
      </c>
    </row>
    <row r="259" spans="1:28">
      <c r="A259" s="121">
        <f t="shared" si="3"/>
        <v>258</v>
      </c>
      <c r="B259" s="123">
        <f>YEAR(Table6[[#This Row],[Date]])+IF(MONTH(Table6[[#This Row],[Date]])&gt;=4,1,0)</f>
        <v>2026</v>
      </c>
      <c r="C259" s="121">
        <f>YEAR(Table6[[#This Row],[Date]])</f>
        <v>2025</v>
      </c>
      <c r="D259" s="121" t="s">
        <v>490</v>
      </c>
      <c r="E259" s="135">
        <f>Table6[[#This Row],[Date]]-DAY(Table6[[#This Row],[Date]])+1</f>
        <v>45748</v>
      </c>
      <c r="F259" s="134">
        <v>45755</v>
      </c>
      <c r="G259" s="121" t="s">
        <v>143</v>
      </c>
      <c r="H259" s="39" t="str">
        <f>_xlfn.XLOOKUP(Table6[[#This Row],[Affected WTG]],'Basic Data'!$A:$A,'Basic Data'!$B:$B)</f>
        <v>PWEGPL</v>
      </c>
      <c r="I259" s="39" t="str">
        <f>_xlfn.XLOOKUP(Table6[[#This Row],[Affected WTG]],'Basic Data'!$A:$A,'Basic Data'!$C:$C)</f>
        <v>MSEDCL</v>
      </c>
      <c r="J259" s="363">
        <f>IFERROR(VLOOKUP(Table6[[#This Row],[Affected WTG]],'Basic Data'!$A$3:$E$56,5,0),"")</f>
        <v>2.564102564102564E-2</v>
      </c>
      <c r="K259" s="121">
        <v>426</v>
      </c>
      <c r="L259" s="39" t="str">
        <f>IFERROR(VLOOKUP(Table6[[#This Row],[Error Code]],'Basic Data'!$T:$U,2,0),"")</f>
        <v>Rotor Speed Reading Failure</v>
      </c>
      <c r="M259" s="364" t="s">
        <v>462</v>
      </c>
      <c r="O259" s="365">
        <v>0.33819444444444446</v>
      </c>
      <c r="P259" s="365">
        <v>0.33819444444444446</v>
      </c>
      <c r="Q259" s="365">
        <v>0.34166666666666667</v>
      </c>
      <c r="R259" s="366">
        <f>IF(Table6[[#This Row],[Work Start TimeStamp]]="","",(Table6[[#This Row],[Work Start TimeStamp]]-Table6[[#This Row],[Fault Start TimeStamp]])*24)</f>
        <v>0</v>
      </c>
      <c r="S259" s="367">
        <f>(Table6[[#This Row],[Fault Clearance time]]-Table6[[#This Row],[Work Start TimeStamp]])*24</f>
        <v>8.3333333333333037E-2</v>
      </c>
      <c r="T259" s="368">
        <f>(Table6[[#This Row],[Fault Clearance time]]-Table6[[#This Row],[Fault Start TimeStamp]])*24</f>
        <v>8.3333333333333037E-2</v>
      </c>
      <c r="U259" s="364" t="s">
        <v>480</v>
      </c>
      <c r="V259" s="369" t="s">
        <v>463</v>
      </c>
      <c r="W259" s="354">
        <f>Table6[[#This Row],[Breakdown Time]]*(1/39)</f>
        <v>2.1367521367521292E-3</v>
      </c>
      <c r="X259" s="352" t="s">
        <v>465</v>
      </c>
      <c r="Y259" s="370" t="s">
        <v>141</v>
      </c>
      <c r="Z259" s="121">
        <v>3910</v>
      </c>
      <c r="AA259" s="123">
        <v>13.57638888888884</v>
      </c>
      <c r="AB259" s="121" t="s">
        <v>478</v>
      </c>
    </row>
    <row r="260" spans="1:28">
      <c r="A260" s="121">
        <f t="shared" ref="A260:A323" si="4">A259+1</f>
        <v>259</v>
      </c>
      <c r="B260" s="123">
        <f>YEAR(Table6[[#This Row],[Date]])+IF(MONTH(Table6[[#This Row],[Date]])&gt;=4,1,0)</f>
        <v>2026</v>
      </c>
      <c r="C260" s="121">
        <f>YEAR(Table6[[#This Row],[Date]])</f>
        <v>2025</v>
      </c>
      <c r="D260" s="121" t="s">
        <v>490</v>
      </c>
      <c r="E260" s="135">
        <f>Table6[[#This Row],[Date]]-DAY(Table6[[#This Row],[Date]])+1</f>
        <v>45748</v>
      </c>
      <c r="F260" s="134">
        <v>45755</v>
      </c>
      <c r="G260" s="121" t="s">
        <v>143</v>
      </c>
      <c r="H260" s="39" t="str">
        <f>_xlfn.XLOOKUP(Table6[[#This Row],[Affected WTG]],'Basic Data'!$A:$A,'Basic Data'!$B:$B)</f>
        <v>PWEGPL</v>
      </c>
      <c r="I260" s="39" t="str">
        <f>_xlfn.XLOOKUP(Table6[[#This Row],[Affected WTG]],'Basic Data'!$A:$A,'Basic Data'!$C:$C)</f>
        <v>MSEDCL</v>
      </c>
      <c r="J260" s="363">
        <f>IFERROR(VLOOKUP(Table6[[#This Row],[Affected WTG]],'Basic Data'!$A$3:$E$56,5,0),"")</f>
        <v>2.564102564102564E-2</v>
      </c>
      <c r="K260" s="121">
        <v>426</v>
      </c>
      <c r="L260" s="39" t="str">
        <f>IFERROR(VLOOKUP(Table6[[#This Row],[Error Code]],'Basic Data'!$T:$U,2,0),"")</f>
        <v>Rotor Speed Reading Failure</v>
      </c>
      <c r="M260" s="364" t="s">
        <v>462</v>
      </c>
      <c r="O260" s="365">
        <v>0.37638888888888888</v>
      </c>
      <c r="P260" s="365">
        <v>0.37638888888888888</v>
      </c>
      <c r="Q260" s="365">
        <v>0.37986111111111109</v>
      </c>
      <c r="R260" s="366">
        <f>IF(Table6[[#This Row],[Work Start TimeStamp]]="","",(Table6[[#This Row],[Work Start TimeStamp]]-Table6[[#This Row],[Fault Start TimeStamp]])*24)</f>
        <v>0</v>
      </c>
      <c r="S260" s="367">
        <f>(Table6[[#This Row],[Fault Clearance time]]-Table6[[#This Row],[Work Start TimeStamp]])*24</f>
        <v>8.3333333333333037E-2</v>
      </c>
      <c r="T260" s="368">
        <f>(Table6[[#This Row],[Fault Clearance time]]-Table6[[#This Row],[Fault Start TimeStamp]])*24</f>
        <v>8.3333333333333037E-2</v>
      </c>
      <c r="U260" s="364" t="s">
        <v>480</v>
      </c>
      <c r="V260" s="369" t="s">
        <v>463</v>
      </c>
      <c r="W260" s="354">
        <f>Table6[[#This Row],[Breakdown Time]]*(1/39)</f>
        <v>2.1367521367521292E-3</v>
      </c>
      <c r="X260" s="352" t="s">
        <v>465</v>
      </c>
      <c r="Y260" s="370" t="s">
        <v>141</v>
      </c>
      <c r="Z260" s="121">
        <v>3910</v>
      </c>
      <c r="AA260" s="123">
        <v>13.57638888888884</v>
      </c>
      <c r="AB260" s="121" t="s">
        <v>478</v>
      </c>
    </row>
    <row r="261" spans="1:28">
      <c r="A261" s="121">
        <f t="shared" si="4"/>
        <v>260</v>
      </c>
      <c r="B261" s="123">
        <f>YEAR(Table6[[#This Row],[Date]])+IF(MONTH(Table6[[#This Row],[Date]])&gt;=4,1,0)</f>
        <v>2026</v>
      </c>
      <c r="C261" s="121">
        <f>YEAR(Table6[[#This Row],[Date]])</f>
        <v>2025</v>
      </c>
      <c r="D261" s="121" t="s">
        <v>490</v>
      </c>
      <c r="E261" s="135">
        <f>Table6[[#This Row],[Date]]-DAY(Table6[[#This Row],[Date]])+1</f>
        <v>45748</v>
      </c>
      <c r="F261" s="134">
        <v>45755</v>
      </c>
      <c r="G261" s="121" t="s">
        <v>143</v>
      </c>
      <c r="H261" s="39" t="str">
        <f>_xlfn.XLOOKUP(Table6[[#This Row],[Affected WTG]],'Basic Data'!$A:$A,'Basic Data'!$B:$B)</f>
        <v>PWEGPL</v>
      </c>
      <c r="I261" s="39" t="str">
        <f>_xlfn.XLOOKUP(Table6[[#This Row],[Affected WTG]],'Basic Data'!$A:$A,'Basic Data'!$C:$C)</f>
        <v>MSEDCL</v>
      </c>
      <c r="J261" s="363">
        <f>IFERROR(VLOOKUP(Table6[[#This Row],[Affected WTG]],'Basic Data'!$A$3:$E$56,5,0),"")</f>
        <v>2.564102564102564E-2</v>
      </c>
      <c r="K261" s="121">
        <v>426</v>
      </c>
      <c r="L261" s="39" t="str">
        <f>IFERROR(VLOOKUP(Table6[[#This Row],[Error Code]],'Basic Data'!$T:$U,2,0),"")</f>
        <v>Rotor Speed Reading Failure</v>
      </c>
      <c r="M261" s="364" t="s">
        <v>462</v>
      </c>
      <c r="O261" s="365">
        <v>0.39166666666666666</v>
      </c>
      <c r="P261" s="365">
        <v>0.39166666666666666</v>
      </c>
      <c r="Q261" s="365">
        <v>0.39513888888888887</v>
      </c>
      <c r="R261" s="366">
        <f>IF(Table6[[#This Row],[Work Start TimeStamp]]="","",(Table6[[#This Row],[Work Start TimeStamp]]-Table6[[#This Row],[Fault Start TimeStamp]])*24)</f>
        <v>0</v>
      </c>
      <c r="S261" s="367">
        <f>(Table6[[#This Row],[Fault Clearance time]]-Table6[[#This Row],[Work Start TimeStamp]])*24</f>
        <v>8.3333333333333037E-2</v>
      </c>
      <c r="T261" s="368">
        <f>(Table6[[#This Row],[Fault Clearance time]]-Table6[[#This Row],[Fault Start TimeStamp]])*24</f>
        <v>8.3333333333333037E-2</v>
      </c>
      <c r="U261" s="364" t="s">
        <v>480</v>
      </c>
      <c r="V261" s="369" t="s">
        <v>463</v>
      </c>
      <c r="W261" s="354">
        <f>Table6[[#This Row],[Breakdown Time]]*(1/39)</f>
        <v>2.1367521367521292E-3</v>
      </c>
      <c r="X261" s="352" t="s">
        <v>465</v>
      </c>
      <c r="Y261" s="370" t="s">
        <v>141</v>
      </c>
      <c r="Z261" s="121">
        <v>3910</v>
      </c>
      <c r="AA261" s="123">
        <v>13.57638888888884</v>
      </c>
      <c r="AB261" s="121" t="s">
        <v>478</v>
      </c>
    </row>
    <row r="262" spans="1:28">
      <c r="A262" s="121">
        <f t="shared" si="4"/>
        <v>261</v>
      </c>
      <c r="B262" s="123">
        <f>YEAR(Table6[[#This Row],[Date]])+IF(MONTH(Table6[[#This Row],[Date]])&gt;=4,1,0)</f>
        <v>2026</v>
      </c>
      <c r="C262" s="121">
        <f>YEAR(Table6[[#This Row],[Date]])</f>
        <v>2025</v>
      </c>
      <c r="D262" s="121" t="s">
        <v>490</v>
      </c>
      <c r="E262" s="135">
        <f>Table6[[#This Row],[Date]]-DAY(Table6[[#This Row],[Date]])+1</f>
        <v>45748</v>
      </c>
      <c r="F262" s="134">
        <v>45755</v>
      </c>
      <c r="G262" s="121" t="s">
        <v>146</v>
      </c>
      <c r="H262" s="39" t="str">
        <f>_xlfn.XLOOKUP(Table6[[#This Row],[Affected WTG]],'Basic Data'!$A:$A,'Basic Data'!$B:$B)</f>
        <v>PWEGPL</v>
      </c>
      <c r="I262" s="39" t="str">
        <f>_xlfn.XLOOKUP(Table6[[#This Row],[Affected WTG]],'Basic Data'!$A:$A,'Basic Data'!$C:$C)</f>
        <v>MSEDCL</v>
      </c>
      <c r="J262" s="363">
        <f>IFERROR(VLOOKUP(Table6[[#This Row],[Affected WTG]],'Basic Data'!$A$3:$E$56,5,0),"")</f>
        <v>2.564102564102564E-2</v>
      </c>
      <c r="K262" s="121" t="s">
        <v>487</v>
      </c>
      <c r="L262" s="39" t="str">
        <f>IFERROR(VLOOKUP(Table6[[#This Row],[Error Code]],'Basic Data'!$T:$U,2,0),"")</f>
        <v>General Work Stoppage</v>
      </c>
      <c r="M262" s="364" t="s">
        <v>479</v>
      </c>
      <c r="O262" s="365">
        <v>0.64861111111111114</v>
      </c>
      <c r="P262" s="365">
        <v>0.64861111111111114</v>
      </c>
      <c r="Q262" s="365">
        <v>0.7006944444444444</v>
      </c>
      <c r="R262" s="366">
        <f>IF(Table6[[#This Row],[Work Start TimeStamp]]="","",(Table6[[#This Row],[Work Start TimeStamp]]-Table6[[#This Row],[Fault Start TimeStamp]])*24)</f>
        <v>0</v>
      </c>
      <c r="S262" s="367">
        <f>(Table6[[#This Row],[Fault Clearance time]]-Table6[[#This Row],[Work Start TimeStamp]])*24</f>
        <v>1.2499999999999982</v>
      </c>
      <c r="T262" s="368">
        <f>(Table6[[#This Row],[Fault Clearance time]]-Table6[[#This Row],[Fault Start TimeStamp]])*24</f>
        <v>1.2499999999999982</v>
      </c>
      <c r="U262" s="364" t="s">
        <v>538</v>
      </c>
      <c r="V262" s="369" t="s">
        <v>463</v>
      </c>
      <c r="W262" s="354">
        <f>Table6[[#This Row],[Breakdown Time]]*(1/39)</f>
        <v>3.2051282051282007E-2</v>
      </c>
      <c r="X262" s="352" t="s">
        <v>464</v>
      </c>
      <c r="Y262" s="370" t="s">
        <v>147</v>
      </c>
      <c r="Z262" s="121">
        <v>3696</v>
      </c>
      <c r="AA262" s="123">
        <v>192.49999999999972</v>
      </c>
      <c r="AB262" s="121" t="s">
        <v>478</v>
      </c>
    </row>
    <row r="263" spans="1:28">
      <c r="A263" s="121">
        <f t="shared" si="4"/>
        <v>262</v>
      </c>
      <c r="B263" s="123">
        <f>YEAR(Table6[[#This Row],[Date]])+IF(MONTH(Table6[[#This Row],[Date]])&gt;=4,1,0)</f>
        <v>2026</v>
      </c>
      <c r="C263" s="121">
        <f>YEAR(Table6[[#This Row],[Date]])</f>
        <v>2025</v>
      </c>
      <c r="D263" s="121" t="s">
        <v>490</v>
      </c>
      <c r="E263" s="135">
        <f>Table6[[#This Row],[Date]]-DAY(Table6[[#This Row],[Date]])+1</f>
        <v>45748</v>
      </c>
      <c r="F263" s="134">
        <v>45755</v>
      </c>
      <c r="G263" s="121" t="s">
        <v>150</v>
      </c>
      <c r="H263" s="39" t="str">
        <f>_xlfn.XLOOKUP(Table6[[#This Row],[Affected WTG]],'Basic Data'!$A:$A,'Basic Data'!$B:$B)</f>
        <v>PWEGPL</v>
      </c>
      <c r="I263" s="39" t="str">
        <f>_xlfn.XLOOKUP(Table6[[#This Row],[Affected WTG]],'Basic Data'!$A:$A,'Basic Data'!$C:$C)</f>
        <v>MSEDCL</v>
      </c>
      <c r="J263" s="363">
        <f>IFERROR(VLOOKUP(Table6[[#This Row],[Affected WTG]],'Basic Data'!$A$3:$E$56,5,0),"")</f>
        <v>2.564102564102564E-2</v>
      </c>
      <c r="K263" s="121">
        <v>402</v>
      </c>
      <c r="L263" s="39" t="str">
        <f>IFERROR(VLOOKUP(Table6[[#This Row],[Error Code]],'Basic Data'!$T:$U,2,0),"")</f>
        <v>Gearbox Oil Level Low</v>
      </c>
      <c r="M263" s="364" t="s">
        <v>462</v>
      </c>
      <c r="O263" s="365">
        <v>0.2361111111111111</v>
      </c>
      <c r="P263" s="365">
        <v>0.2361111111111111</v>
      </c>
      <c r="Q263" s="365">
        <v>0.3888888888888889</v>
      </c>
      <c r="R263" s="366">
        <f>IF(Table6[[#This Row],[Work Start TimeStamp]]="","",(Table6[[#This Row],[Work Start TimeStamp]]-Table6[[#This Row],[Fault Start TimeStamp]])*24)</f>
        <v>0</v>
      </c>
      <c r="S263" s="367">
        <f>(Table6[[#This Row],[Fault Clearance time]]-Table6[[#This Row],[Work Start TimeStamp]])*24</f>
        <v>3.666666666666667</v>
      </c>
      <c r="T263" s="368">
        <f>(Table6[[#This Row],[Fault Clearance time]]-Table6[[#This Row],[Fault Start TimeStamp]])*24</f>
        <v>3.666666666666667</v>
      </c>
      <c r="U263" s="364" t="s">
        <v>493</v>
      </c>
      <c r="V263" s="369" t="s">
        <v>463</v>
      </c>
      <c r="W263" s="354">
        <f>Table6[[#This Row],[Breakdown Time]]*(1/39)</f>
        <v>9.4017094017094016E-2</v>
      </c>
      <c r="X263" s="352" t="s">
        <v>465</v>
      </c>
      <c r="Y263" s="370" t="s">
        <v>149</v>
      </c>
      <c r="Z263" s="121">
        <v>5094</v>
      </c>
      <c r="AA263" s="123">
        <v>778.25000000000011</v>
      </c>
      <c r="AB263" s="121" t="s">
        <v>478</v>
      </c>
    </row>
    <row r="264" spans="1:28">
      <c r="A264" s="121">
        <f t="shared" si="4"/>
        <v>263</v>
      </c>
      <c r="B264" s="123">
        <f>YEAR(Table6[[#This Row],[Date]])+IF(MONTH(Table6[[#This Row],[Date]])&gt;=4,1,0)</f>
        <v>2026</v>
      </c>
      <c r="C264" s="121">
        <f>YEAR(Table6[[#This Row],[Date]])</f>
        <v>2025</v>
      </c>
      <c r="D264" s="121" t="s">
        <v>490</v>
      </c>
      <c r="E264" s="135">
        <f>Table6[[#This Row],[Date]]-DAY(Table6[[#This Row],[Date]])+1</f>
        <v>45748</v>
      </c>
      <c r="F264" s="134">
        <v>45756</v>
      </c>
      <c r="G264" s="121" t="s">
        <v>144</v>
      </c>
      <c r="H264" s="39" t="str">
        <f>_xlfn.XLOOKUP(Table6[[#This Row],[Affected WTG]],'Basic Data'!$A:$A,'Basic Data'!$B:$B)</f>
        <v>PWEGPL</v>
      </c>
      <c r="I264" s="39" t="str">
        <f>_xlfn.XLOOKUP(Table6[[#This Row],[Affected WTG]],'Basic Data'!$A:$A,'Basic Data'!$C:$C)</f>
        <v>MSEDCL</v>
      </c>
      <c r="J264" s="363">
        <f>IFERROR(VLOOKUP(Table6[[#This Row],[Affected WTG]],'Basic Data'!$A$3:$E$56,5,0),"")</f>
        <v>2.564102564102564E-2</v>
      </c>
      <c r="K264" s="121" t="s">
        <v>492</v>
      </c>
      <c r="L264" s="39" t="str">
        <f>IFERROR(VLOOKUP(Table6[[#This Row],[Error Code]],'Basic Data'!$T:$U,2,0),"")</f>
        <v>Manual Stop - Safety Related</v>
      </c>
      <c r="M264" s="364" t="s">
        <v>481</v>
      </c>
      <c r="O264" s="365">
        <v>0</v>
      </c>
      <c r="P264" s="365">
        <v>0.99930555555555556</v>
      </c>
      <c r="Q264" s="365">
        <v>0.99930555555555556</v>
      </c>
      <c r="R264" s="366">
        <f>IF(Table6[[#This Row],[Work Start TimeStamp]]="","",(Table6[[#This Row],[Work Start TimeStamp]]-Table6[[#This Row],[Fault Start TimeStamp]])*24)</f>
        <v>23.983333333333334</v>
      </c>
      <c r="S264" s="367">
        <f>(Table6[[#This Row],[Fault Clearance time]]-Table6[[#This Row],[Work Start TimeStamp]])*24</f>
        <v>0</v>
      </c>
      <c r="T264" s="368">
        <f>(Table6[[#This Row],[Fault Clearance time]]-Table6[[#This Row],[Fault Start TimeStamp]])*24</f>
        <v>23.983333333333334</v>
      </c>
      <c r="U264" s="364" t="s">
        <v>498</v>
      </c>
      <c r="V264" s="369" t="s">
        <v>473</v>
      </c>
      <c r="W264" s="354">
        <f>Table6[[#This Row],[Breakdown Time]]*(1/39)</f>
        <v>0.61495726495726499</v>
      </c>
      <c r="X264" s="352" t="s">
        <v>468</v>
      </c>
      <c r="Y264" s="370" t="s">
        <v>141</v>
      </c>
      <c r="Z264" s="121">
        <v>8908</v>
      </c>
      <c r="AA264" s="123">
        <v>8901.8138888888898</v>
      </c>
      <c r="AB264" s="121" t="s">
        <v>478</v>
      </c>
    </row>
    <row r="265" spans="1:28">
      <c r="A265" s="121">
        <f t="shared" si="4"/>
        <v>264</v>
      </c>
      <c r="B265" s="123">
        <f>YEAR(Table6[[#This Row],[Date]])+IF(MONTH(Table6[[#This Row],[Date]])&gt;=4,1,0)</f>
        <v>2026</v>
      </c>
      <c r="C265" s="121">
        <f>YEAR(Table6[[#This Row],[Date]])</f>
        <v>2025</v>
      </c>
      <c r="D265" s="121" t="s">
        <v>490</v>
      </c>
      <c r="E265" s="135">
        <f>Table6[[#This Row],[Date]]-DAY(Table6[[#This Row],[Date]])+1</f>
        <v>45748</v>
      </c>
      <c r="F265" s="134">
        <v>45756</v>
      </c>
      <c r="G265" s="121" t="s">
        <v>142</v>
      </c>
      <c r="H265" s="39" t="str">
        <f>_xlfn.XLOOKUP(Table6[[#This Row],[Affected WTG]],'Basic Data'!$A:$A,'Basic Data'!$B:$B)</f>
        <v>PWEGPL</v>
      </c>
      <c r="I265" s="39" t="str">
        <f>_xlfn.XLOOKUP(Table6[[#This Row],[Affected WTG]],'Basic Data'!$A:$A,'Basic Data'!$C:$C)</f>
        <v>MSEDCL</v>
      </c>
      <c r="J265" s="363">
        <f>IFERROR(VLOOKUP(Table6[[#This Row],[Affected WTG]],'Basic Data'!$A$3:$E$56,5,0),"")</f>
        <v>2.564102564102564E-2</v>
      </c>
      <c r="K265" s="121" t="s">
        <v>492</v>
      </c>
      <c r="L265" s="39" t="str">
        <f>IFERROR(VLOOKUP(Table6[[#This Row],[Error Code]],'Basic Data'!$T:$U,2,0),"")</f>
        <v>Manual Stop - Safety Related</v>
      </c>
      <c r="M265" s="364" t="s">
        <v>481</v>
      </c>
      <c r="O265" s="365">
        <v>0</v>
      </c>
      <c r="P265" s="365">
        <v>0.99930555555555556</v>
      </c>
      <c r="Q265" s="365">
        <v>0.99930555555555556</v>
      </c>
      <c r="R265" s="366">
        <f>IF(Table6[[#This Row],[Work Start TimeStamp]]="","",(Table6[[#This Row],[Work Start TimeStamp]]-Table6[[#This Row],[Fault Start TimeStamp]])*24)</f>
        <v>23.983333333333334</v>
      </c>
      <c r="S265" s="367">
        <f>(Table6[[#This Row],[Fault Clearance time]]-Table6[[#This Row],[Work Start TimeStamp]])*24</f>
        <v>0</v>
      </c>
      <c r="T265" s="368">
        <f>(Table6[[#This Row],[Fault Clearance time]]-Table6[[#This Row],[Fault Start TimeStamp]])*24</f>
        <v>23.983333333333334</v>
      </c>
      <c r="U265" s="364" t="s">
        <v>498</v>
      </c>
      <c r="V265" s="369" t="s">
        <v>473</v>
      </c>
      <c r="W265" s="354">
        <f>Table6[[#This Row],[Breakdown Time]]*(1/39)</f>
        <v>0.61495726495726499</v>
      </c>
      <c r="X265" s="352" t="s">
        <v>468</v>
      </c>
      <c r="Y265" s="370" t="s">
        <v>141</v>
      </c>
      <c r="Z265" s="121">
        <v>8908</v>
      </c>
      <c r="AA265" s="123">
        <v>8901.8138888888898</v>
      </c>
      <c r="AB265" s="121" t="s">
        <v>478</v>
      </c>
    </row>
    <row r="266" spans="1:28">
      <c r="A266" s="121">
        <f t="shared" si="4"/>
        <v>265</v>
      </c>
      <c r="B266" s="123">
        <f>YEAR(Table6[[#This Row],[Date]])+IF(MONTH(Table6[[#This Row],[Date]])&gt;=4,1,0)</f>
        <v>2026</v>
      </c>
      <c r="C266" s="121">
        <f>YEAR(Table6[[#This Row],[Date]])</f>
        <v>2025</v>
      </c>
      <c r="D266" s="121" t="s">
        <v>490</v>
      </c>
      <c r="E266" s="135">
        <f>Table6[[#This Row],[Date]]-DAY(Table6[[#This Row],[Date]])+1</f>
        <v>45748</v>
      </c>
      <c r="F266" s="134">
        <v>45756</v>
      </c>
      <c r="G266" s="121" t="s">
        <v>115</v>
      </c>
      <c r="H266" s="39" t="str">
        <f>_xlfn.XLOOKUP(Table6[[#This Row],[Affected WTG]],'Basic Data'!$A:$A,'Basic Data'!$B:$B)</f>
        <v>PWEGPL</v>
      </c>
      <c r="I266" s="39" t="str">
        <f>_xlfn.XLOOKUP(Table6[[#This Row],[Affected WTG]],'Basic Data'!$A:$A,'Basic Data'!$C:$C)</f>
        <v>MSEDCL</v>
      </c>
      <c r="J266" s="363">
        <f>IFERROR(VLOOKUP(Table6[[#This Row],[Affected WTG]],'Basic Data'!$A$3:$E$56,5,0),"")</f>
        <v>2.564102564102564E-2</v>
      </c>
      <c r="K266" s="121">
        <v>203</v>
      </c>
      <c r="L266" s="39" t="str">
        <f>IFERROR(VLOOKUP(Table6[[#This Row],[Error Code]],'Basic Data'!$T:$U,2,0),"")</f>
        <v>Low Pressure On Hydraulic Group</v>
      </c>
      <c r="M266" s="364" t="s">
        <v>462</v>
      </c>
      <c r="O266" s="365">
        <v>0.43402777777777779</v>
      </c>
      <c r="P266" s="365">
        <v>0.43402777777777779</v>
      </c>
      <c r="Q266" s="365">
        <v>0.4375</v>
      </c>
      <c r="R266" s="366">
        <f>IF(Table6[[#This Row],[Work Start TimeStamp]]="","",(Table6[[#This Row],[Work Start TimeStamp]]-Table6[[#This Row],[Fault Start TimeStamp]])*24)</f>
        <v>0</v>
      </c>
      <c r="S266" s="367">
        <f>(Table6[[#This Row],[Fault Clearance time]]-Table6[[#This Row],[Work Start TimeStamp]])*24</f>
        <v>8.3333333333333037E-2</v>
      </c>
      <c r="T266" s="368">
        <f>(Table6[[#This Row],[Fault Clearance time]]-Table6[[#This Row],[Fault Start TimeStamp]])*24</f>
        <v>8.3333333333333037E-2</v>
      </c>
      <c r="U266" s="364" t="s">
        <v>480</v>
      </c>
      <c r="V266" s="369" t="s">
        <v>463</v>
      </c>
      <c r="W266" s="354">
        <f>Table6[[#This Row],[Breakdown Time]]*(1/39)</f>
        <v>2.1367521367521292E-3</v>
      </c>
      <c r="X266" s="352" t="s">
        <v>465</v>
      </c>
      <c r="Y266" s="370" t="s">
        <v>121</v>
      </c>
      <c r="Z266" s="121">
        <v>9460</v>
      </c>
      <c r="AA266" s="123">
        <v>32.847222222222108</v>
      </c>
      <c r="AB266" s="121" t="s">
        <v>478</v>
      </c>
    </row>
    <row r="267" spans="1:28">
      <c r="A267" s="121">
        <f t="shared" si="4"/>
        <v>266</v>
      </c>
      <c r="B267" s="123">
        <f>YEAR(Table6[[#This Row],[Date]])+IF(MONTH(Table6[[#This Row],[Date]])&gt;=4,1,0)</f>
        <v>2026</v>
      </c>
      <c r="C267" s="121">
        <f>YEAR(Table6[[#This Row],[Date]])</f>
        <v>2025</v>
      </c>
      <c r="D267" s="121" t="s">
        <v>490</v>
      </c>
      <c r="E267" s="135">
        <f>Table6[[#This Row],[Date]]-DAY(Table6[[#This Row],[Date]])+1</f>
        <v>45748</v>
      </c>
      <c r="F267" s="134">
        <v>45756</v>
      </c>
      <c r="G267" s="121" t="s">
        <v>118</v>
      </c>
      <c r="H267" s="39" t="str">
        <f>_xlfn.XLOOKUP(Table6[[#This Row],[Affected WTG]],'Basic Data'!$A:$A,'Basic Data'!$B:$B)</f>
        <v>PWEGPL</v>
      </c>
      <c r="I267" s="39" t="str">
        <f>_xlfn.XLOOKUP(Table6[[#This Row],[Affected WTG]],'Basic Data'!$A:$A,'Basic Data'!$C:$C)</f>
        <v>MSEDCL</v>
      </c>
      <c r="J267" s="363">
        <f>IFERROR(VLOOKUP(Table6[[#This Row],[Affected WTG]],'Basic Data'!$A$3:$E$56,5,0),"")</f>
        <v>2.564102564102564E-2</v>
      </c>
      <c r="K267" s="121">
        <v>5200</v>
      </c>
      <c r="L267" s="39" t="str">
        <f>IFERROR(VLOOKUP(Table6[[#This Row],[Error Code]],'Basic Data'!$T:$U,2,0),"")</f>
        <v>Magnetothermic Trigger Of The Line Protection</v>
      </c>
      <c r="M267" s="364" t="s">
        <v>462</v>
      </c>
      <c r="O267" s="365">
        <v>0</v>
      </c>
      <c r="P267" s="365">
        <v>0</v>
      </c>
      <c r="Q267" s="365">
        <v>2.9166666666666667E-2</v>
      </c>
      <c r="R267" s="366">
        <f>IF(Table6[[#This Row],[Work Start TimeStamp]]="","",(Table6[[#This Row],[Work Start TimeStamp]]-Table6[[#This Row],[Fault Start TimeStamp]])*24)</f>
        <v>0</v>
      </c>
      <c r="S267" s="367">
        <f>(Table6[[#This Row],[Fault Clearance time]]-Table6[[#This Row],[Work Start TimeStamp]])*24</f>
        <v>0.7</v>
      </c>
      <c r="T267" s="368">
        <f>(Table6[[#This Row],[Fault Clearance time]]-Table6[[#This Row],[Fault Start TimeStamp]])*24</f>
        <v>0.7</v>
      </c>
      <c r="U267" s="364" t="s">
        <v>493</v>
      </c>
      <c r="V267" s="369" t="s">
        <v>463</v>
      </c>
      <c r="W267" s="354">
        <f>Table6[[#This Row],[Breakdown Time]]*(1/39)</f>
        <v>1.7948717948717947E-2</v>
      </c>
      <c r="X267" s="352" t="s">
        <v>465</v>
      </c>
      <c r="Y267" s="370" t="s">
        <v>117</v>
      </c>
      <c r="Z267" s="121">
        <v>9628</v>
      </c>
      <c r="AA267" s="123">
        <v>280.81666666666666</v>
      </c>
      <c r="AB267" s="121" t="s">
        <v>478</v>
      </c>
    </row>
    <row r="268" spans="1:28">
      <c r="A268" s="121">
        <f t="shared" si="4"/>
        <v>267</v>
      </c>
      <c r="B268" s="123">
        <f>YEAR(Table6[[#This Row],[Date]])+IF(MONTH(Table6[[#This Row],[Date]])&gt;=4,1,0)</f>
        <v>2026</v>
      </c>
      <c r="C268" s="121">
        <f>YEAR(Table6[[#This Row],[Date]])</f>
        <v>2025</v>
      </c>
      <c r="D268" s="121" t="s">
        <v>490</v>
      </c>
      <c r="E268" s="135">
        <f>Table6[[#This Row],[Date]]-DAY(Table6[[#This Row],[Date]])+1</f>
        <v>45748</v>
      </c>
      <c r="F268" s="134">
        <v>45756</v>
      </c>
      <c r="G268" s="121" t="s">
        <v>118</v>
      </c>
      <c r="H268" s="39" t="str">
        <f>_xlfn.XLOOKUP(Table6[[#This Row],[Affected WTG]],'Basic Data'!$A:$A,'Basic Data'!$B:$B)</f>
        <v>PWEGPL</v>
      </c>
      <c r="I268" s="39" t="str">
        <f>_xlfn.XLOOKUP(Table6[[#This Row],[Affected WTG]],'Basic Data'!$A:$A,'Basic Data'!$C:$C)</f>
        <v>MSEDCL</v>
      </c>
      <c r="J268" s="363">
        <f>IFERROR(VLOOKUP(Table6[[#This Row],[Affected WTG]],'Basic Data'!$A$3:$E$56,5,0),"")</f>
        <v>2.564102564102564E-2</v>
      </c>
      <c r="K268" s="121">
        <v>208</v>
      </c>
      <c r="L268" s="39" t="str">
        <f>IFERROR(VLOOKUP(Table6[[#This Row],[Error Code]],'Basic Data'!$T:$U,2,0),"")</f>
        <v>HU Pump Drive Failure</v>
      </c>
      <c r="M268" s="364" t="s">
        <v>462</v>
      </c>
      <c r="O268" s="365">
        <v>0.31944444444444442</v>
      </c>
      <c r="P268" s="365">
        <v>0.47152777777777777</v>
      </c>
      <c r="Q268" s="365">
        <v>0.4826388888888889</v>
      </c>
      <c r="R268" s="366">
        <f>IF(Table6[[#This Row],[Work Start TimeStamp]]="","",(Table6[[#This Row],[Work Start TimeStamp]]-Table6[[#This Row],[Fault Start TimeStamp]])*24)</f>
        <v>3.6500000000000004</v>
      </c>
      <c r="S268" s="367">
        <f>(Table6[[#This Row],[Fault Clearance time]]-Table6[[#This Row],[Work Start TimeStamp]])*24</f>
        <v>0.26666666666666705</v>
      </c>
      <c r="T268" s="368">
        <f>(Table6[[#This Row],[Fault Clearance time]]-Table6[[#This Row],[Fault Start TimeStamp]])*24</f>
        <v>3.9166666666666674</v>
      </c>
      <c r="U268" s="364" t="s">
        <v>539</v>
      </c>
      <c r="V268" s="369" t="s">
        <v>463</v>
      </c>
      <c r="W268" s="354">
        <f>Table6[[#This Row],[Breakdown Time]]*(1/39)</f>
        <v>0.10042735042735045</v>
      </c>
      <c r="X268" s="352" t="s">
        <v>465</v>
      </c>
      <c r="Y268" s="370" t="s">
        <v>117</v>
      </c>
      <c r="Z268" s="121">
        <v>9628</v>
      </c>
      <c r="AA268" s="123">
        <v>1571.2361111111115</v>
      </c>
      <c r="AB268" s="121" t="s">
        <v>478</v>
      </c>
    </row>
    <row r="269" spans="1:28">
      <c r="A269" s="121">
        <f t="shared" si="4"/>
        <v>268</v>
      </c>
      <c r="B269" s="123">
        <f>YEAR(Table6[[#This Row],[Date]])+IF(MONTH(Table6[[#This Row],[Date]])&gt;=4,1,0)</f>
        <v>2026</v>
      </c>
      <c r="C269" s="121">
        <f>YEAR(Table6[[#This Row],[Date]])</f>
        <v>2025</v>
      </c>
      <c r="D269" s="121" t="s">
        <v>490</v>
      </c>
      <c r="E269" s="135">
        <f>Table6[[#This Row],[Date]]-DAY(Table6[[#This Row],[Date]])+1</f>
        <v>45748</v>
      </c>
      <c r="F269" s="134">
        <v>45756</v>
      </c>
      <c r="G269" s="121" t="s">
        <v>123</v>
      </c>
      <c r="H269" s="39" t="str">
        <f>_xlfn.XLOOKUP(Table6[[#This Row],[Affected WTG]],'Basic Data'!$A:$A,'Basic Data'!$B:$B)</f>
        <v>PWEGPL</v>
      </c>
      <c r="I269" s="39" t="str">
        <f>_xlfn.XLOOKUP(Table6[[#This Row],[Affected WTG]],'Basic Data'!$A:$A,'Basic Data'!$C:$C)</f>
        <v>MSEDCL</v>
      </c>
      <c r="J269" s="363">
        <f>IFERROR(VLOOKUP(Table6[[#This Row],[Affected WTG]],'Basic Data'!$A$3:$E$56,5,0),"")</f>
        <v>2.564102564102564E-2</v>
      </c>
      <c r="K269" s="121">
        <v>5203</v>
      </c>
      <c r="L269" s="39" t="str">
        <f>IFERROR(VLOOKUP(Table6[[#This Row],[Error Code]],'Basic Data'!$T:$U,2,0),"")</f>
        <v>Heating/Coolant Thermal Magnetic Failure</v>
      </c>
      <c r="M269" s="364" t="s">
        <v>462</v>
      </c>
      <c r="O269" s="365">
        <v>0</v>
      </c>
      <c r="P269" s="365">
        <v>0</v>
      </c>
      <c r="Q269" s="365">
        <v>9.3055555555555558E-2</v>
      </c>
      <c r="R269" s="366">
        <f>IF(Table6[[#This Row],[Work Start TimeStamp]]="","",(Table6[[#This Row],[Work Start TimeStamp]]-Table6[[#This Row],[Fault Start TimeStamp]])*24)</f>
        <v>0</v>
      </c>
      <c r="S269" s="367">
        <f>(Table6[[#This Row],[Fault Clearance time]]-Table6[[#This Row],[Work Start TimeStamp]])*24</f>
        <v>2.2333333333333334</v>
      </c>
      <c r="T269" s="368">
        <f>(Table6[[#This Row],[Fault Clearance time]]-Table6[[#This Row],[Fault Start TimeStamp]])*24</f>
        <v>2.2333333333333334</v>
      </c>
      <c r="U269" s="364" t="s">
        <v>540</v>
      </c>
      <c r="V269" s="369" t="s">
        <v>463</v>
      </c>
      <c r="W269" s="354">
        <f>Table6[[#This Row],[Breakdown Time]]*(1/39)</f>
        <v>5.7264957264957263E-2</v>
      </c>
      <c r="X269" s="352" t="s">
        <v>465</v>
      </c>
      <c r="Y269" s="370" t="s">
        <v>126</v>
      </c>
      <c r="Z269" s="121">
        <v>9350</v>
      </c>
      <c r="AA269" s="123">
        <v>870.06944444444446</v>
      </c>
      <c r="AB269" s="121" t="s">
        <v>478</v>
      </c>
    </row>
    <row r="270" spans="1:28">
      <c r="A270" s="121">
        <f t="shared" si="4"/>
        <v>269</v>
      </c>
      <c r="B270" s="123">
        <f>YEAR(Table6[[#This Row],[Date]])+IF(MONTH(Table6[[#This Row],[Date]])&gt;=4,1,0)</f>
        <v>2026</v>
      </c>
      <c r="C270" s="121">
        <f>YEAR(Table6[[#This Row],[Date]])</f>
        <v>2025</v>
      </c>
      <c r="D270" s="121" t="s">
        <v>490</v>
      </c>
      <c r="E270" s="135">
        <f>Table6[[#This Row],[Date]]-DAY(Table6[[#This Row],[Date]])+1</f>
        <v>45748</v>
      </c>
      <c r="F270" s="134">
        <v>45756</v>
      </c>
      <c r="G270" s="121" t="s">
        <v>124</v>
      </c>
      <c r="H270" s="39" t="str">
        <f>_xlfn.XLOOKUP(Table6[[#This Row],[Affected WTG]],'Basic Data'!$A:$A,'Basic Data'!$B:$B)</f>
        <v>PWEGPL</v>
      </c>
      <c r="I270" s="39" t="str">
        <f>_xlfn.XLOOKUP(Table6[[#This Row],[Affected WTG]],'Basic Data'!$A:$A,'Basic Data'!$C:$C)</f>
        <v>MSEDCL</v>
      </c>
      <c r="J270" s="363">
        <f>IFERROR(VLOOKUP(Table6[[#This Row],[Affected WTG]],'Basic Data'!$A$3:$E$56,5,0),"")</f>
        <v>2.564102564102564E-2</v>
      </c>
      <c r="K270" s="121">
        <v>527</v>
      </c>
      <c r="L270" s="39" t="str">
        <f>IFERROR(VLOOKUP(Table6[[#This Row],[Error Code]],'Basic Data'!$T:$U,2,0),"")</f>
        <v>High Temperature Of Upper Radiator</v>
      </c>
      <c r="M270" s="364" t="s">
        <v>462</v>
      </c>
      <c r="O270" s="365">
        <v>2.6388888888888889E-2</v>
      </c>
      <c r="P270" s="365">
        <v>2.6388888888888889E-2</v>
      </c>
      <c r="Q270" s="365">
        <v>2.9861111111111113E-2</v>
      </c>
      <c r="R270" s="366">
        <f>IF(Table6[[#This Row],[Work Start TimeStamp]]="","",(Table6[[#This Row],[Work Start TimeStamp]]-Table6[[#This Row],[Fault Start TimeStamp]])*24)</f>
        <v>0</v>
      </c>
      <c r="S270" s="367">
        <f>(Table6[[#This Row],[Fault Clearance time]]-Table6[[#This Row],[Work Start TimeStamp]])*24</f>
        <v>8.333333333333337E-2</v>
      </c>
      <c r="T270" s="368">
        <f>(Table6[[#This Row],[Fault Clearance time]]-Table6[[#This Row],[Fault Start TimeStamp]])*24</f>
        <v>8.333333333333337E-2</v>
      </c>
      <c r="U270" s="364" t="s">
        <v>480</v>
      </c>
      <c r="V270" s="369" t="s">
        <v>463</v>
      </c>
      <c r="W270" s="354">
        <f>Table6[[#This Row],[Breakdown Time]]*(1/39)</f>
        <v>2.1367521367521378E-3</v>
      </c>
      <c r="X270" s="352" t="s">
        <v>465</v>
      </c>
      <c r="Y270" s="370" t="s">
        <v>125</v>
      </c>
      <c r="Z270" s="121">
        <v>12444</v>
      </c>
      <c r="AA270" s="123">
        <v>43.20833333333335</v>
      </c>
      <c r="AB270" s="121" t="s">
        <v>478</v>
      </c>
    </row>
    <row r="271" spans="1:28">
      <c r="A271" s="121">
        <f t="shared" si="4"/>
        <v>270</v>
      </c>
      <c r="B271" s="123">
        <f>YEAR(Table6[[#This Row],[Date]])+IF(MONTH(Table6[[#This Row],[Date]])&gt;=4,1,0)</f>
        <v>2026</v>
      </c>
      <c r="C271" s="121">
        <f>YEAR(Table6[[#This Row],[Date]])</f>
        <v>2025</v>
      </c>
      <c r="D271" s="121" t="s">
        <v>490</v>
      </c>
      <c r="E271" s="135">
        <f>Table6[[#This Row],[Date]]-DAY(Table6[[#This Row],[Date]])+1</f>
        <v>45748</v>
      </c>
      <c r="F271" s="134">
        <v>45756</v>
      </c>
      <c r="G271" s="121" t="s">
        <v>124</v>
      </c>
      <c r="H271" s="39" t="str">
        <f>_xlfn.XLOOKUP(Table6[[#This Row],[Affected WTG]],'Basic Data'!$A:$A,'Basic Data'!$B:$B)</f>
        <v>PWEGPL</v>
      </c>
      <c r="I271" s="39" t="str">
        <f>_xlfn.XLOOKUP(Table6[[#This Row],[Affected WTG]],'Basic Data'!$A:$A,'Basic Data'!$C:$C)</f>
        <v>MSEDCL</v>
      </c>
      <c r="J271" s="363">
        <f>IFERROR(VLOOKUP(Table6[[#This Row],[Affected WTG]],'Basic Data'!$A$3:$E$56,5,0),"")</f>
        <v>2.564102564102564E-2</v>
      </c>
      <c r="K271" s="121">
        <v>205</v>
      </c>
      <c r="L271" s="39" t="str">
        <f>IFERROR(VLOOKUP(Table6[[#This Row],[Error Code]],'Basic Data'!$T:$U,2,0),"")</f>
        <v>Low Level Hydraulic Group Refrigeration Oil</v>
      </c>
      <c r="M271" s="364" t="s">
        <v>462</v>
      </c>
      <c r="O271" s="365">
        <v>0.31944444444444442</v>
      </c>
      <c r="P271" s="365">
        <v>0.47152777777777777</v>
      </c>
      <c r="Q271" s="365">
        <v>0.47361111111111109</v>
      </c>
      <c r="R271" s="366">
        <f>IF(Table6[[#This Row],[Work Start TimeStamp]]="","",(Table6[[#This Row],[Work Start TimeStamp]]-Table6[[#This Row],[Fault Start TimeStamp]])*24)</f>
        <v>3.6500000000000004</v>
      </c>
      <c r="S271" s="367">
        <f>(Table6[[#This Row],[Fault Clearance time]]-Table6[[#This Row],[Work Start TimeStamp]])*24</f>
        <v>4.9999999999999822E-2</v>
      </c>
      <c r="T271" s="368">
        <f>(Table6[[#This Row],[Fault Clearance time]]-Table6[[#This Row],[Fault Start TimeStamp]])*24</f>
        <v>3.7</v>
      </c>
      <c r="U271" s="364" t="s">
        <v>493</v>
      </c>
      <c r="V271" s="369" t="s">
        <v>463</v>
      </c>
      <c r="W271" s="354">
        <f>Table6[[#This Row],[Breakdown Time]]*(1/39)</f>
        <v>9.4871794871794868E-2</v>
      </c>
      <c r="X271" s="352" t="s">
        <v>465</v>
      </c>
      <c r="Y271" s="370" t="s">
        <v>125</v>
      </c>
      <c r="Z271" s="121">
        <v>12444</v>
      </c>
      <c r="AA271" s="123">
        <v>1918.45</v>
      </c>
      <c r="AB271" s="121" t="s">
        <v>478</v>
      </c>
    </row>
    <row r="272" spans="1:28">
      <c r="A272" s="121">
        <f t="shared" si="4"/>
        <v>271</v>
      </c>
      <c r="B272" s="123">
        <f>YEAR(Table6[[#This Row],[Date]])+IF(MONTH(Table6[[#This Row],[Date]])&gt;=4,1,0)</f>
        <v>2026</v>
      </c>
      <c r="C272" s="121">
        <f>YEAR(Table6[[#This Row],[Date]])</f>
        <v>2025</v>
      </c>
      <c r="D272" s="121" t="s">
        <v>490</v>
      </c>
      <c r="E272" s="135">
        <f>Table6[[#This Row],[Date]]-DAY(Table6[[#This Row],[Date]])+1</f>
        <v>45748</v>
      </c>
      <c r="F272" s="134">
        <v>45756</v>
      </c>
      <c r="G272" s="121" t="s">
        <v>126</v>
      </c>
      <c r="H272" s="39" t="str">
        <f>_xlfn.XLOOKUP(Table6[[#This Row],[Affected WTG]],'Basic Data'!$A:$A,'Basic Data'!$B:$B)</f>
        <v>PWEGPL</v>
      </c>
      <c r="I272" s="39" t="str">
        <f>_xlfn.XLOOKUP(Table6[[#This Row],[Affected WTG]],'Basic Data'!$A:$A,'Basic Data'!$C:$C)</f>
        <v>MSEDCL</v>
      </c>
      <c r="J272" s="363">
        <f>IFERROR(VLOOKUP(Table6[[#This Row],[Affected WTG]],'Basic Data'!$A$3:$E$56,5,0),"")</f>
        <v>2.564102564102564E-2</v>
      </c>
      <c r="K272" s="121">
        <v>203</v>
      </c>
      <c r="L272" s="39" t="str">
        <f>IFERROR(VLOOKUP(Table6[[#This Row],[Error Code]],'Basic Data'!$T:$U,2,0),"")</f>
        <v>Low Pressure On Hydraulic Group</v>
      </c>
      <c r="M272" s="364" t="s">
        <v>462</v>
      </c>
      <c r="O272" s="365">
        <v>0.57847222222222228</v>
      </c>
      <c r="P272" s="365">
        <v>0.57847222222222228</v>
      </c>
      <c r="Q272" s="365">
        <v>0.5854166666666667</v>
      </c>
      <c r="R272" s="366">
        <f>IF(Table6[[#This Row],[Work Start TimeStamp]]="","",(Table6[[#This Row],[Work Start TimeStamp]]-Table6[[#This Row],[Fault Start TimeStamp]])*24)</f>
        <v>0</v>
      </c>
      <c r="S272" s="367">
        <f>(Table6[[#This Row],[Fault Clearance time]]-Table6[[#This Row],[Work Start TimeStamp]])*24</f>
        <v>0.16666666666666607</v>
      </c>
      <c r="T272" s="368">
        <f>(Table6[[#This Row],[Fault Clearance time]]-Table6[[#This Row],[Fault Start TimeStamp]])*24</f>
        <v>0.16666666666666607</v>
      </c>
      <c r="U272" s="364" t="s">
        <v>480</v>
      </c>
      <c r="V272" s="369" t="s">
        <v>463</v>
      </c>
      <c r="W272" s="354">
        <f>Table6[[#This Row],[Breakdown Time]]*(1/39)</f>
        <v>4.2735042735042583E-3</v>
      </c>
      <c r="X272" s="352" t="s">
        <v>465</v>
      </c>
      <c r="Y272" s="370" t="s">
        <v>127</v>
      </c>
      <c r="Z272" s="121">
        <v>8102</v>
      </c>
      <c r="AA272" s="123">
        <v>56.263888888888687</v>
      </c>
      <c r="AB272" s="121" t="s">
        <v>478</v>
      </c>
    </row>
    <row r="273" spans="1:28">
      <c r="A273" s="121">
        <f t="shared" si="4"/>
        <v>272</v>
      </c>
      <c r="B273" s="123">
        <f>YEAR(Table6[[#This Row],[Date]])+IF(MONTH(Table6[[#This Row],[Date]])&gt;=4,1,0)</f>
        <v>2026</v>
      </c>
      <c r="C273" s="121">
        <f>YEAR(Table6[[#This Row],[Date]])</f>
        <v>2025</v>
      </c>
      <c r="D273" s="121" t="s">
        <v>490</v>
      </c>
      <c r="E273" s="135">
        <f>Table6[[#This Row],[Date]]-DAY(Table6[[#This Row],[Date]])+1</f>
        <v>45748</v>
      </c>
      <c r="F273" s="134">
        <v>45756</v>
      </c>
      <c r="G273" s="121" t="s">
        <v>129</v>
      </c>
      <c r="H273" s="39" t="str">
        <f>_xlfn.XLOOKUP(Table6[[#This Row],[Affected WTG]],'Basic Data'!$A:$A,'Basic Data'!$B:$B)</f>
        <v>PWEGPL</v>
      </c>
      <c r="I273" s="39" t="str">
        <f>_xlfn.XLOOKUP(Table6[[#This Row],[Affected WTG]],'Basic Data'!$A:$A,'Basic Data'!$C:$C)</f>
        <v>MSEDCL</v>
      </c>
      <c r="J273" s="363">
        <f>IFERROR(VLOOKUP(Table6[[#This Row],[Affected WTG]],'Basic Data'!$A$3:$E$56,5,0),"")</f>
        <v>2.564102564102564E-2</v>
      </c>
      <c r="K273" s="121">
        <v>502</v>
      </c>
      <c r="L273" s="39" t="str">
        <f>IFERROR(VLOOKUP(Table6[[#This Row],[Error Code]],'Basic Data'!$T:$U,2,0),"")</f>
        <v>Generator NDE Bearing High Temperature Alarm</v>
      </c>
      <c r="M273" s="364" t="s">
        <v>462</v>
      </c>
      <c r="O273" s="365">
        <v>0.20972222222222223</v>
      </c>
      <c r="P273" s="365">
        <v>0.20972222222222223</v>
      </c>
      <c r="Q273" s="365">
        <v>0.21319444444444444</v>
      </c>
      <c r="R273" s="366">
        <f>IF(Table6[[#This Row],[Work Start TimeStamp]]="","",(Table6[[#This Row],[Work Start TimeStamp]]-Table6[[#This Row],[Fault Start TimeStamp]])*24)</f>
        <v>0</v>
      </c>
      <c r="S273" s="367">
        <f>(Table6[[#This Row],[Fault Clearance time]]-Table6[[#This Row],[Work Start TimeStamp]])*24</f>
        <v>8.3333333333333037E-2</v>
      </c>
      <c r="T273" s="368">
        <f>(Table6[[#This Row],[Fault Clearance time]]-Table6[[#This Row],[Fault Start TimeStamp]])*24</f>
        <v>8.3333333333333037E-2</v>
      </c>
      <c r="U273" s="364" t="s">
        <v>480</v>
      </c>
      <c r="V273" s="369" t="s">
        <v>463</v>
      </c>
      <c r="W273" s="354">
        <f>Table6[[#This Row],[Breakdown Time]]*(1/39)</f>
        <v>2.1367521367521292E-3</v>
      </c>
      <c r="X273" s="352" t="s">
        <v>465</v>
      </c>
      <c r="Y273" s="370" t="s">
        <v>128</v>
      </c>
      <c r="Z273" s="121">
        <v>10392</v>
      </c>
      <c r="AA273" s="123">
        <v>36.083333333333208</v>
      </c>
      <c r="AB273" s="121" t="s">
        <v>478</v>
      </c>
    </row>
    <row r="274" spans="1:28">
      <c r="A274" s="121">
        <f t="shared" si="4"/>
        <v>273</v>
      </c>
      <c r="B274" s="123">
        <f>YEAR(Table6[[#This Row],[Date]])+IF(MONTH(Table6[[#This Row],[Date]])&gt;=4,1,0)</f>
        <v>2026</v>
      </c>
      <c r="C274" s="121">
        <f>YEAR(Table6[[#This Row],[Date]])</f>
        <v>2025</v>
      </c>
      <c r="D274" s="121" t="s">
        <v>490</v>
      </c>
      <c r="E274" s="135">
        <f>Table6[[#This Row],[Date]]-DAY(Table6[[#This Row],[Date]])+1</f>
        <v>45748</v>
      </c>
      <c r="F274" s="134">
        <v>45756</v>
      </c>
      <c r="G274" s="121" t="s">
        <v>130</v>
      </c>
      <c r="H274" s="39" t="str">
        <f>_xlfn.XLOOKUP(Table6[[#This Row],[Affected WTG]],'Basic Data'!$A:$A,'Basic Data'!$B:$B)</f>
        <v>PWEGPL</v>
      </c>
      <c r="I274" s="39" t="str">
        <f>_xlfn.XLOOKUP(Table6[[#This Row],[Affected WTG]],'Basic Data'!$A:$A,'Basic Data'!$C:$C)</f>
        <v>MSEDCL</v>
      </c>
      <c r="J274" s="363">
        <f>IFERROR(VLOOKUP(Table6[[#This Row],[Affected WTG]],'Basic Data'!$A$3:$E$56,5,0),"")</f>
        <v>2.564102564102564E-2</v>
      </c>
      <c r="K274" s="121">
        <v>5248</v>
      </c>
      <c r="L274" s="39" t="str">
        <f>IFERROR(VLOOKUP(Table6[[#This Row],[Error Code]],'Basic Data'!$T:$U,2,0),"")</f>
        <v>Active Crowbar IGBT Errors</v>
      </c>
      <c r="M274" s="364" t="s">
        <v>462</v>
      </c>
      <c r="O274" s="365">
        <v>0</v>
      </c>
      <c r="P274" s="365">
        <v>0</v>
      </c>
      <c r="Q274" s="365">
        <v>0.78749999999999998</v>
      </c>
      <c r="R274" s="366">
        <f>IF(Table6[[#This Row],[Work Start TimeStamp]]="","",(Table6[[#This Row],[Work Start TimeStamp]]-Table6[[#This Row],[Fault Start TimeStamp]])*24)</f>
        <v>0</v>
      </c>
      <c r="S274" s="367">
        <f>(Table6[[#This Row],[Fault Clearance time]]-Table6[[#This Row],[Work Start TimeStamp]])*24</f>
        <v>18.899999999999999</v>
      </c>
      <c r="T274" s="368">
        <f>(Table6[[#This Row],[Fault Clearance time]]-Table6[[#This Row],[Fault Start TimeStamp]])*24</f>
        <v>18.899999999999999</v>
      </c>
      <c r="U274" s="364" t="s">
        <v>541</v>
      </c>
      <c r="V274" s="369" t="s">
        <v>463</v>
      </c>
      <c r="W274" s="354">
        <f>Table6[[#This Row],[Breakdown Time]]*(1/39)</f>
        <v>0.48461538461538456</v>
      </c>
      <c r="X274" s="352" t="s">
        <v>465</v>
      </c>
      <c r="Y274" s="370" t="s">
        <v>131</v>
      </c>
      <c r="Z274" s="121">
        <v>12986</v>
      </c>
      <c r="AA274" s="123">
        <v>10226.475</v>
      </c>
      <c r="AB274" s="121" t="s">
        <v>542</v>
      </c>
    </row>
    <row r="275" spans="1:28">
      <c r="A275" s="121">
        <f t="shared" si="4"/>
        <v>274</v>
      </c>
      <c r="B275" s="123">
        <f>YEAR(Table6[[#This Row],[Date]])+IF(MONTH(Table6[[#This Row],[Date]])&gt;=4,1,0)</f>
        <v>2026</v>
      </c>
      <c r="C275" s="121">
        <f>YEAR(Table6[[#This Row],[Date]])</f>
        <v>2025</v>
      </c>
      <c r="D275" s="121" t="s">
        <v>490</v>
      </c>
      <c r="E275" s="135">
        <f>Table6[[#This Row],[Date]]-DAY(Table6[[#This Row],[Date]])+1</f>
        <v>45748</v>
      </c>
      <c r="F275" s="134">
        <v>45756</v>
      </c>
      <c r="G275" s="121" t="s">
        <v>132</v>
      </c>
      <c r="H275" s="39" t="str">
        <f>_xlfn.XLOOKUP(Table6[[#This Row],[Affected WTG]],'Basic Data'!$A:$A,'Basic Data'!$B:$B)</f>
        <v>PWEGPL</v>
      </c>
      <c r="I275" s="39" t="str">
        <f>_xlfn.XLOOKUP(Table6[[#This Row],[Affected WTG]],'Basic Data'!$A:$A,'Basic Data'!$C:$C)</f>
        <v>MSEDCL</v>
      </c>
      <c r="J275" s="363">
        <f>IFERROR(VLOOKUP(Table6[[#This Row],[Affected WTG]],'Basic Data'!$A$3:$E$56,5,0),"")</f>
        <v>2.564102564102564E-2</v>
      </c>
      <c r="K275" s="121">
        <v>502</v>
      </c>
      <c r="L275" s="39" t="str">
        <f>IFERROR(VLOOKUP(Table6[[#This Row],[Error Code]],'Basic Data'!$T:$U,2,0),"")</f>
        <v>Generator NDE Bearing High Temperature Alarm</v>
      </c>
      <c r="M275" s="364" t="s">
        <v>462</v>
      </c>
      <c r="O275" s="365">
        <v>6.9444444444444448E-2</v>
      </c>
      <c r="P275" s="365">
        <v>6.9444444444444448E-2</v>
      </c>
      <c r="Q275" s="365">
        <v>7.2916666666666671E-2</v>
      </c>
      <c r="R275" s="366">
        <f>IF(Table6[[#This Row],[Work Start TimeStamp]]="","",(Table6[[#This Row],[Work Start TimeStamp]]-Table6[[#This Row],[Fault Start TimeStamp]])*24)</f>
        <v>0</v>
      </c>
      <c r="S275" s="367">
        <f>(Table6[[#This Row],[Fault Clearance time]]-Table6[[#This Row],[Work Start TimeStamp]])*24</f>
        <v>8.333333333333337E-2</v>
      </c>
      <c r="T275" s="368">
        <f>(Table6[[#This Row],[Fault Clearance time]]-Table6[[#This Row],[Fault Start TimeStamp]])*24</f>
        <v>8.333333333333337E-2</v>
      </c>
      <c r="U275" s="364" t="s">
        <v>480</v>
      </c>
      <c r="V275" s="369" t="s">
        <v>463</v>
      </c>
      <c r="W275" s="354">
        <f>Table6[[#This Row],[Breakdown Time]]*(1/39)</f>
        <v>2.1367521367521378E-3</v>
      </c>
      <c r="X275" s="352" t="s">
        <v>465</v>
      </c>
      <c r="Y275" s="370" t="s">
        <v>133</v>
      </c>
      <c r="Z275" s="121">
        <v>11728</v>
      </c>
      <c r="AA275" s="123">
        <v>40.722222222222243</v>
      </c>
      <c r="AB275" s="121" t="s">
        <v>478</v>
      </c>
    </row>
    <row r="276" spans="1:28">
      <c r="A276" s="121">
        <f t="shared" si="4"/>
        <v>275</v>
      </c>
      <c r="B276" s="123">
        <f>YEAR(Table6[[#This Row],[Date]])+IF(MONTH(Table6[[#This Row],[Date]])&gt;=4,1,0)</f>
        <v>2026</v>
      </c>
      <c r="C276" s="121">
        <f>YEAR(Table6[[#This Row],[Date]])</f>
        <v>2025</v>
      </c>
      <c r="D276" s="121" t="s">
        <v>490</v>
      </c>
      <c r="E276" s="135">
        <f>Table6[[#This Row],[Date]]-DAY(Table6[[#This Row],[Date]])+1</f>
        <v>45748</v>
      </c>
      <c r="F276" s="134">
        <v>45756</v>
      </c>
      <c r="G276" s="121" t="s">
        <v>132</v>
      </c>
      <c r="H276" s="39" t="str">
        <f>_xlfn.XLOOKUP(Table6[[#This Row],[Affected WTG]],'Basic Data'!$A:$A,'Basic Data'!$B:$B)</f>
        <v>PWEGPL</v>
      </c>
      <c r="I276" s="39" t="str">
        <f>_xlfn.XLOOKUP(Table6[[#This Row],[Affected WTG]],'Basic Data'!$A:$A,'Basic Data'!$C:$C)</f>
        <v>MSEDCL</v>
      </c>
      <c r="J276" s="363">
        <f>IFERROR(VLOOKUP(Table6[[#This Row],[Affected WTG]],'Basic Data'!$A$3:$E$56,5,0),"")</f>
        <v>2.564102564102564E-2</v>
      </c>
      <c r="K276" s="121">
        <v>502</v>
      </c>
      <c r="L276" s="39" t="str">
        <f>IFERROR(VLOOKUP(Table6[[#This Row],[Error Code]],'Basic Data'!$T:$U,2,0),"")</f>
        <v>Generator NDE Bearing High Temperature Alarm</v>
      </c>
      <c r="M276" s="364" t="s">
        <v>462</v>
      </c>
      <c r="O276" s="365">
        <v>0.22222222222222221</v>
      </c>
      <c r="P276" s="365">
        <v>0.22222222222222221</v>
      </c>
      <c r="Q276" s="365">
        <v>0.22569444444444445</v>
      </c>
      <c r="R276" s="366">
        <f>IF(Table6[[#This Row],[Work Start TimeStamp]]="","",(Table6[[#This Row],[Work Start TimeStamp]]-Table6[[#This Row],[Fault Start TimeStamp]])*24)</f>
        <v>0</v>
      </c>
      <c r="S276" s="367">
        <f>(Table6[[#This Row],[Fault Clearance time]]-Table6[[#This Row],[Work Start TimeStamp]])*24</f>
        <v>8.3333333333333703E-2</v>
      </c>
      <c r="T276" s="368">
        <f>(Table6[[#This Row],[Fault Clearance time]]-Table6[[#This Row],[Fault Start TimeStamp]])*24</f>
        <v>8.3333333333333703E-2</v>
      </c>
      <c r="U276" s="364" t="s">
        <v>480</v>
      </c>
      <c r="V276" s="369" t="s">
        <v>463</v>
      </c>
      <c r="W276" s="354">
        <f>Table6[[#This Row],[Breakdown Time]]*(1/39)</f>
        <v>2.1367521367521461E-3</v>
      </c>
      <c r="X276" s="352" t="s">
        <v>465</v>
      </c>
      <c r="Y276" s="370" t="s">
        <v>133</v>
      </c>
      <c r="Z276" s="121">
        <v>11728</v>
      </c>
      <c r="AA276" s="123">
        <v>40.722222222222406</v>
      </c>
      <c r="AB276" s="121" t="s">
        <v>478</v>
      </c>
    </row>
    <row r="277" spans="1:28">
      <c r="A277" s="121">
        <f t="shared" si="4"/>
        <v>276</v>
      </c>
      <c r="B277" s="123">
        <f>YEAR(Table6[[#This Row],[Date]])+IF(MONTH(Table6[[#This Row],[Date]])&gt;=4,1,0)</f>
        <v>2026</v>
      </c>
      <c r="C277" s="121">
        <f>YEAR(Table6[[#This Row],[Date]])</f>
        <v>2025</v>
      </c>
      <c r="D277" s="121" t="s">
        <v>490</v>
      </c>
      <c r="E277" s="135">
        <f>Table6[[#This Row],[Date]]-DAY(Table6[[#This Row],[Date]])+1</f>
        <v>45748</v>
      </c>
      <c r="F277" s="134">
        <v>45756</v>
      </c>
      <c r="G277" s="121" t="s">
        <v>133</v>
      </c>
      <c r="H277" s="39" t="str">
        <f>_xlfn.XLOOKUP(Table6[[#This Row],[Affected WTG]],'Basic Data'!$A:$A,'Basic Data'!$B:$B)</f>
        <v>PWEGPL</v>
      </c>
      <c r="I277" s="39" t="str">
        <f>_xlfn.XLOOKUP(Table6[[#This Row],[Affected WTG]],'Basic Data'!$A:$A,'Basic Data'!$C:$C)</f>
        <v>MSEDCL</v>
      </c>
      <c r="J277" s="363">
        <f>IFERROR(VLOOKUP(Table6[[#This Row],[Affected WTG]],'Basic Data'!$A$3:$E$56,5,0),"")</f>
        <v>2.564102564102564E-2</v>
      </c>
      <c r="K277" s="121">
        <v>205</v>
      </c>
      <c r="L277" s="39" t="str">
        <f>IFERROR(VLOOKUP(Table6[[#This Row],[Error Code]],'Basic Data'!$T:$U,2,0),"")</f>
        <v>Low Level Hydraulic Group Refrigeration Oil</v>
      </c>
      <c r="M277" s="364" t="s">
        <v>462</v>
      </c>
      <c r="O277" s="365">
        <v>0.39652777777777776</v>
      </c>
      <c r="P277" s="365">
        <v>0.57777777777777772</v>
      </c>
      <c r="Q277" s="365">
        <v>0.57777777777777772</v>
      </c>
      <c r="R277" s="366">
        <f>IF(Table6[[#This Row],[Work Start TimeStamp]]="","",(Table6[[#This Row],[Work Start TimeStamp]]-Table6[[#This Row],[Fault Start TimeStamp]])*24)</f>
        <v>4.3499999999999996</v>
      </c>
      <c r="S277" s="367">
        <f>(Table6[[#This Row],[Fault Clearance time]]-Table6[[#This Row],[Work Start TimeStamp]])*24</f>
        <v>0</v>
      </c>
      <c r="T277" s="368">
        <f>(Table6[[#This Row],[Fault Clearance time]]-Table6[[#This Row],[Fault Start TimeStamp]])*24</f>
        <v>4.3499999999999996</v>
      </c>
      <c r="U277" s="364" t="s">
        <v>493</v>
      </c>
      <c r="V277" s="369" t="s">
        <v>463</v>
      </c>
      <c r="W277" s="354">
        <f>Table6[[#This Row],[Breakdown Time]]*(1/39)</f>
        <v>0.11153846153846153</v>
      </c>
      <c r="X277" s="352" t="s">
        <v>465</v>
      </c>
      <c r="Y277" s="370" t="s">
        <v>134</v>
      </c>
      <c r="Z277" s="121">
        <v>12297</v>
      </c>
      <c r="AA277" s="123">
        <v>2228.8312499999997</v>
      </c>
      <c r="AB277" s="121" t="s">
        <v>478</v>
      </c>
    </row>
    <row r="278" spans="1:28">
      <c r="A278" s="121">
        <f t="shared" si="4"/>
        <v>277</v>
      </c>
      <c r="B278" s="123">
        <f>YEAR(Table6[[#This Row],[Date]])+IF(MONTH(Table6[[#This Row],[Date]])&gt;=4,1,0)</f>
        <v>2026</v>
      </c>
      <c r="C278" s="121">
        <f>YEAR(Table6[[#This Row],[Date]])</f>
        <v>2025</v>
      </c>
      <c r="D278" s="121" t="s">
        <v>490</v>
      </c>
      <c r="E278" s="135">
        <f>Table6[[#This Row],[Date]]-DAY(Table6[[#This Row],[Date]])+1</f>
        <v>45748</v>
      </c>
      <c r="F278" s="134">
        <v>45756</v>
      </c>
      <c r="G278" s="121" t="s">
        <v>136</v>
      </c>
      <c r="H278" s="39" t="str">
        <f>_xlfn.XLOOKUP(Table6[[#This Row],[Affected WTG]],'Basic Data'!$A:$A,'Basic Data'!$B:$B)</f>
        <v>PWEGPL</v>
      </c>
      <c r="I278" s="39" t="str">
        <f>_xlfn.XLOOKUP(Table6[[#This Row],[Affected WTG]],'Basic Data'!$A:$A,'Basic Data'!$C:$C)</f>
        <v>MSEDCL</v>
      </c>
      <c r="J278" s="363">
        <f>IFERROR(VLOOKUP(Table6[[#This Row],[Affected WTG]],'Basic Data'!$A$3:$E$56,5,0),"")</f>
        <v>2.564102564102564E-2</v>
      </c>
      <c r="K278" s="121">
        <v>402</v>
      </c>
      <c r="L278" s="39" t="str">
        <f>IFERROR(VLOOKUP(Table6[[#This Row],[Error Code]],'Basic Data'!$T:$U,2,0),"")</f>
        <v>Gearbox Oil Level Low</v>
      </c>
      <c r="M278" s="364" t="s">
        <v>462</v>
      </c>
      <c r="O278" s="365">
        <v>0.2361111111111111</v>
      </c>
      <c r="P278" s="365">
        <v>0.2361111111111111</v>
      </c>
      <c r="Q278" s="365">
        <v>0.35416666666666669</v>
      </c>
      <c r="R278" s="366">
        <f>IF(Table6[[#This Row],[Work Start TimeStamp]]="","",(Table6[[#This Row],[Work Start TimeStamp]]-Table6[[#This Row],[Fault Start TimeStamp]])*24)</f>
        <v>0</v>
      </c>
      <c r="S278" s="367">
        <f>(Table6[[#This Row],[Fault Clearance time]]-Table6[[#This Row],[Work Start TimeStamp]])*24</f>
        <v>2.8333333333333339</v>
      </c>
      <c r="T278" s="368">
        <f>(Table6[[#This Row],[Fault Clearance time]]-Table6[[#This Row],[Fault Start TimeStamp]])*24</f>
        <v>2.8333333333333339</v>
      </c>
      <c r="U278" s="364" t="s">
        <v>493</v>
      </c>
      <c r="V278" s="369" t="s">
        <v>463</v>
      </c>
      <c r="W278" s="354">
        <f>Table6[[#This Row],[Breakdown Time]]*(1/39)</f>
        <v>7.2649572649572669E-2</v>
      </c>
      <c r="X278" s="352" t="s">
        <v>465</v>
      </c>
      <c r="Y278" s="370" t="s">
        <v>135</v>
      </c>
      <c r="Z278" s="121">
        <v>8994</v>
      </c>
      <c r="AA278" s="123">
        <v>1061.791666666667</v>
      </c>
      <c r="AB278" s="121" t="s">
        <v>478</v>
      </c>
    </row>
    <row r="279" spans="1:28">
      <c r="A279" s="121">
        <f t="shared" si="4"/>
        <v>278</v>
      </c>
      <c r="B279" s="123">
        <f>YEAR(Table6[[#This Row],[Date]])+IF(MONTH(Table6[[#This Row],[Date]])&gt;=4,1,0)</f>
        <v>2026</v>
      </c>
      <c r="C279" s="121">
        <f>YEAR(Table6[[#This Row],[Date]])</f>
        <v>2025</v>
      </c>
      <c r="D279" s="121" t="s">
        <v>490</v>
      </c>
      <c r="E279" s="135">
        <f>Table6[[#This Row],[Date]]-DAY(Table6[[#This Row],[Date]])+1</f>
        <v>45748</v>
      </c>
      <c r="F279" s="134">
        <v>45756</v>
      </c>
      <c r="G279" s="121" t="s">
        <v>139</v>
      </c>
      <c r="H279" s="39" t="str">
        <f>_xlfn.XLOOKUP(Table6[[#This Row],[Affected WTG]],'Basic Data'!$A:$A,'Basic Data'!$B:$B)</f>
        <v>PWEGPL</v>
      </c>
      <c r="I279" s="39" t="str">
        <f>_xlfn.XLOOKUP(Table6[[#This Row],[Affected WTG]],'Basic Data'!$A:$A,'Basic Data'!$C:$C)</f>
        <v>MSEDCL</v>
      </c>
      <c r="J279" s="363">
        <f>IFERROR(VLOOKUP(Table6[[#This Row],[Affected WTG]],'Basic Data'!$A$3:$E$56,5,0),"")</f>
        <v>2.564102564102564E-2</v>
      </c>
      <c r="K279" s="121">
        <v>527</v>
      </c>
      <c r="L279" s="39" t="str">
        <f>IFERROR(VLOOKUP(Table6[[#This Row],[Error Code]],'Basic Data'!$T:$U,2,0),"")</f>
        <v>High Temperature Of Upper Radiator</v>
      </c>
      <c r="M279" s="364" t="s">
        <v>462</v>
      </c>
      <c r="O279" s="365">
        <v>0.12638888888888888</v>
      </c>
      <c r="P279" s="365">
        <v>0.12638888888888888</v>
      </c>
      <c r="Q279" s="365">
        <v>0.12986111111111112</v>
      </c>
      <c r="R279" s="366">
        <f>IF(Table6[[#This Row],[Work Start TimeStamp]]="","",(Table6[[#This Row],[Work Start TimeStamp]]-Table6[[#This Row],[Fault Start TimeStamp]])*24)</f>
        <v>0</v>
      </c>
      <c r="S279" s="367">
        <f>(Table6[[#This Row],[Fault Clearance time]]-Table6[[#This Row],[Work Start TimeStamp]])*24</f>
        <v>8.3333333333333703E-2</v>
      </c>
      <c r="T279" s="368">
        <f>(Table6[[#This Row],[Fault Clearance time]]-Table6[[#This Row],[Fault Start TimeStamp]])*24</f>
        <v>8.3333333333333703E-2</v>
      </c>
      <c r="U279" s="364" t="s">
        <v>480</v>
      </c>
      <c r="V279" s="369" t="s">
        <v>463</v>
      </c>
      <c r="W279" s="354">
        <f>Table6[[#This Row],[Breakdown Time]]*(1/39)</f>
        <v>2.1367521367521461E-3</v>
      </c>
      <c r="X279" s="352" t="s">
        <v>465</v>
      </c>
      <c r="Y279" s="370" t="s">
        <v>145</v>
      </c>
      <c r="Z279" s="121">
        <v>7086</v>
      </c>
      <c r="AA279" s="123">
        <v>24.604166666666774</v>
      </c>
      <c r="AB279" s="121" t="s">
        <v>478</v>
      </c>
    </row>
    <row r="280" spans="1:28">
      <c r="A280" s="121">
        <f t="shared" si="4"/>
        <v>279</v>
      </c>
      <c r="B280" s="123">
        <f>YEAR(Table6[[#This Row],[Date]])+IF(MONTH(Table6[[#This Row],[Date]])&gt;=4,1,0)</f>
        <v>2026</v>
      </c>
      <c r="C280" s="121">
        <f>YEAR(Table6[[#This Row],[Date]])</f>
        <v>2025</v>
      </c>
      <c r="D280" s="121" t="s">
        <v>490</v>
      </c>
      <c r="E280" s="135">
        <f>Table6[[#This Row],[Date]]-DAY(Table6[[#This Row],[Date]])+1</f>
        <v>45748</v>
      </c>
      <c r="F280" s="134">
        <v>45756</v>
      </c>
      <c r="G280" s="121" t="s">
        <v>139</v>
      </c>
      <c r="H280" s="39" t="str">
        <f>_xlfn.XLOOKUP(Table6[[#This Row],[Affected WTG]],'Basic Data'!$A:$A,'Basic Data'!$B:$B)</f>
        <v>PWEGPL</v>
      </c>
      <c r="I280" s="39" t="str">
        <f>_xlfn.XLOOKUP(Table6[[#This Row],[Affected WTG]],'Basic Data'!$A:$A,'Basic Data'!$C:$C)</f>
        <v>MSEDCL</v>
      </c>
      <c r="J280" s="363">
        <f>IFERROR(VLOOKUP(Table6[[#This Row],[Affected WTG]],'Basic Data'!$A$3:$E$56,5,0),"")</f>
        <v>2.564102564102564E-2</v>
      </c>
      <c r="K280" s="121">
        <v>203</v>
      </c>
      <c r="L280" s="39" t="str">
        <f>IFERROR(VLOOKUP(Table6[[#This Row],[Error Code]],'Basic Data'!$T:$U,2,0),"")</f>
        <v>Low Pressure On Hydraulic Group</v>
      </c>
      <c r="M280" s="364" t="s">
        <v>462</v>
      </c>
      <c r="O280" s="365">
        <v>0.55347222222222225</v>
      </c>
      <c r="P280" s="365">
        <v>0.55347222222222225</v>
      </c>
      <c r="Q280" s="365">
        <v>0.55694444444444446</v>
      </c>
      <c r="R280" s="366">
        <f>IF(Table6[[#This Row],[Work Start TimeStamp]]="","",(Table6[[#This Row],[Work Start TimeStamp]]-Table6[[#This Row],[Fault Start TimeStamp]])*24)</f>
        <v>0</v>
      </c>
      <c r="S280" s="367">
        <f>(Table6[[#This Row],[Fault Clearance time]]-Table6[[#This Row],[Work Start TimeStamp]])*24</f>
        <v>8.3333333333333037E-2</v>
      </c>
      <c r="T280" s="368">
        <f>(Table6[[#This Row],[Fault Clearance time]]-Table6[[#This Row],[Fault Start TimeStamp]])*24</f>
        <v>8.3333333333333037E-2</v>
      </c>
      <c r="U280" s="364" t="s">
        <v>480</v>
      </c>
      <c r="V280" s="369" t="s">
        <v>463</v>
      </c>
      <c r="W280" s="354">
        <f>Table6[[#This Row],[Breakdown Time]]*(1/39)</f>
        <v>2.1367521367521292E-3</v>
      </c>
      <c r="X280" s="352" t="s">
        <v>465</v>
      </c>
      <c r="Y280" s="370" t="s">
        <v>145</v>
      </c>
      <c r="Z280" s="121">
        <v>7086</v>
      </c>
      <c r="AA280" s="123">
        <v>24.604166666666579</v>
      </c>
      <c r="AB280" s="121" t="s">
        <v>478</v>
      </c>
    </row>
    <row r="281" spans="1:28">
      <c r="A281" s="121">
        <f t="shared" si="4"/>
        <v>280</v>
      </c>
      <c r="B281" s="123">
        <f>YEAR(Table6[[#This Row],[Date]])+IF(MONTH(Table6[[#This Row],[Date]])&gt;=4,1,0)</f>
        <v>2026</v>
      </c>
      <c r="C281" s="121">
        <f>YEAR(Table6[[#This Row],[Date]])</f>
        <v>2025</v>
      </c>
      <c r="D281" s="121" t="s">
        <v>490</v>
      </c>
      <c r="E281" s="135">
        <f>Table6[[#This Row],[Date]]-DAY(Table6[[#This Row],[Date]])+1</f>
        <v>45748</v>
      </c>
      <c r="F281" s="134">
        <v>45756</v>
      </c>
      <c r="G281" s="121" t="s">
        <v>150</v>
      </c>
      <c r="H281" s="39" t="str">
        <f>_xlfn.XLOOKUP(Table6[[#This Row],[Affected WTG]],'Basic Data'!$A:$A,'Basic Data'!$B:$B)</f>
        <v>PWEGPL</v>
      </c>
      <c r="I281" s="39" t="str">
        <f>_xlfn.XLOOKUP(Table6[[#This Row],[Affected WTG]],'Basic Data'!$A:$A,'Basic Data'!$C:$C)</f>
        <v>MSEDCL</v>
      </c>
      <c r="J281" s="363">
        <f>IFERROR(VLOOKUP(Table6[[#This Row],[Affected WTG]],'Basic Data'!$A$3:$E$56,5,0),"")</f>
        <v>2.564102564102564E-2</v>
      </c>
      <c r="K281" s="121">
        <v>5219</v>
      </c>
      <c r="L281" s="39" t="str">
        <f>IFERROR(VLOOKUP(Table6[[#This Row],[Error Code]],'Basic Data'!$T:$U,2,0),"")</f>
        <v>Coolant Of The Coolant Circuit Failure</v>
      </c>
      <c r="M281" s="364" t="s">
        <v>462</v>
      </c>
      <c r="O281" s="365">
        <v>0.6</v>
      </c>
      <c r="P281" s="365">
        <v>0.61944444444444446</v>
      </c>
      <c r="Q281" s="365">
        <v>0.62083333333333335</v>
      </c>
      <c r="R281" s="366">
        <f>IF(Table6[[#This Row],[Work Start TimeStamp]]="","",(Table6[[#This Row],[Work Start TimeStamp]]-Table6[[#This Row],[Fault Start TimeStamp]])*24)</f>
        <v>0.46666666666666767</v>
      </c>
      <c r="S281" s="367">
        <f>(Table6[[#This Row],[Fault Clearance time]]-Table6[[#This Row],[Work Start TimeStamp]])*24</f>
        <v>3.3333333333333215E-2</v>
      </c>
      <c r="T281" s="368">
        <f>(Table6[[#This Row],[Fault Clearance time]]-Table6[[#This Row],[Fault Start TimeStamp]])*24</f>
        <v>0.50000000000000089</v>
      </c>
      <c r="U281" s="364" t="s">
        <v>493</v>
      </c>
      <c r="V281" s="369" t="s">
        <v>463</v>
      </c>
      <c r="W281" s="354">
        <f>Table6[[#This Row],[Breakdown Time]]*(1/39)</f>
        <v>1.2820512820512843E-2</v>
      </c>
      <c r="X281" s="352" t="s">
        <v>465</v>
      </c>
      <c r="Y281" s="370" t="s">
        <v>149</v>
      </c>
      <c r="Z281" s="121">
        <v>9864</v>
      </c>
      <c r="AA281" s="123">
        <v>205.50000000000037</v>
      </c>
      <c r="AB281" s="121" t="s">
        <v>478</v>
      </c>
    </row>
    <row r="282" spans="1:28">
      <c r="A282" s="121">
        <f t="shared" si="4"/>
        <v>281</v>
      </c>
      <c r="B282" s="123">
        <f>YEAR(Table6[[#This Row],[Date]])+IF(MONTH(Table6[[#This Row],[Date]])&gt;=4,1,0)</f>
        <v>2026</v>
      </c>
      <c r="C282" s="121">
        <f>YEAR(Table6[[#This Row],[Date]])</f>
        <v>2025</v>
      </c>
      <c r="D282" s="121" t="s">
        <v>490</v>
      </c>
      <c r="E282" s="135">
        <f>Table6[[#This Row],[Date]]-DAY(Table6[[#This Row],[Date]])+1</f>
        <v>45748</v>
      </c>
      <c r="F282" s="134">
        <v>45757</v>
      </c>
      <c r="G282" s="121" t="s">
        <v>144</v>
      </c>
      <c r="H282" s="39" t="str">
        <f>_xlfn.XLOOKUP(Table6[[#This Row],[Affected WTG]],'Basic Data'!$A:$A,'Basic Data'!$B:$B)</f>
        <v>PWEGPL</v>
      </c>
      <c r="I282" s="39" t="str">
        <f>_xlfn.XLOOKUP(Table6[[#This Row],[Affected WTG]],'Basic Data'!$A:$A,'Basic Data'!$C:$C)</f>
        <v>MSEDCL</v>
      </c>
      <c r="J282" s="363">
        <f>IFERROR(VLOOKUP(Table6[[#This Row],[Affected WTG]],'Basic Data'!$A$3:$E$56,5,0),"")</f>
        <v>2.564102564102564E-2</v>
      </c>
      <c r="K282" s="121" t="s">
        <v>492</v>
      </c>
      <c r="L282" s="39" t="str">
        <f>IFERROR(VLOOKUP(Table6[[#This Row],[Error Code]],'Basic Data'!$T:$U,2,0),"")</f>
        <v>Manual Stop - Safety Related</v>
      </c>
      <c r="M282" s="364" t="s">
        <v>481</v>
      </c>
      <c r="O282" s="365">
        <v>0</v>
      </c>
      <c r="P282" s="365">
        <v>0.99930555555555556</v>
      </c>
      <c r="Q282" s="365">
        <v>0.99930555555555556</v>
      </c>
      <c r="R282" s="366">
        <f>IF(Table6[[#This Row],[Work Start TimeStamp]]="","",(Table6[[#This Row],[Work Start TimeStamp]]-Table6[[#This Row],[Fault Start TimeStamp]])*24)</f>
        <v>23.983333333333334</v>
      </c>
      <c r="S282" s="367">
        <f>(Table6[[#This Row],[Fault Clearance time]]-Table6[[#This Row],[Work Start TimeStamp]])*24</f>
        <v>0</v>
      </c>
      <c r="T282" s="368">
        <f>(Table6[[#This Row],[Fault Clearance time]]-Table6[[#This Row],[Fault Start TimeStamp]])*24</f>
        <v>23.983333333333334</v>
      </c>
      <c r="U282" s="364" t="s">
        <v>498</v>
      </c>
      <c r="V282" s="369" t="s">
        <v>473</v>
      </c>
      <c r="W282" s="354">
        <f>Table6[[#This Row],[Breakdown Time]]*(1/39)</f>
        <v>0.61495726495726499</v>
      </c>
      <c r="X282" s="352" t="s">
        <v>468</v>
      </c>
      <c r="Y282" s="370" t="s">
        <v>141</v>
      </c>
      <c r="Z282" s="121">
        <v>12542</v>
      </c>
      <c r="AA282" s="123">
        <v>12533.29027777778</v>
      </c>
      <c r="AB282" s="121" t="s">
        <v>478</v>
      </c>
    </row>
    <row r="283" spans="1:28">
      <c r="A283" s="121">
        <f t="shared" si="4"/>
        <v>282</v>
      </c>
      <c r="B283" s="123">
        <f>YEAR(Table6[[#This Row],[Date]])+IF(MONTH(Table6[[#This Row],[Date]])&gt;=4,1,0)</f>
        <v>2026</v>
      </c>
      <c r="C283" s="121">
        <f>YEAR(Table6[[#This Row],[Date]])</f>
        <v>2025</v>
      </c>
      <c r="D283" s="121" t="s">
        <v>490</v>
      </c>
      <c r="E283" s="135">
        <f>Table6[[#This Row],[Date]]-DAY(Table6[[#This Row],[Date]])+1</f>
        <v>45748</v>
      </c>
      <c r="F283" s="134">
        <v>45757</v>
      </c>
      <c r="G283" s="121" t="s">
        <v>142</v>
      </c>
      <c r="H283" s="39" t="str">
        <f>_xlfn.XLOOKUP(Table6[[#This Row],[Affected WTG]],'Basic Data'!$A:$A,'Basic Data'!$B:$B)</f>
        <v>PWEGPL</v>
      </c>
      <c r="I283" s="39" t="str">
        <f>_xlfn.XLOOKUP(Table6[[#This Row],[Affected WTG]],'Basic Data'!$A:$A,'Basic Data'!$C:$C)</f>
        <v>MSEDCL</v>
      </c>
      <c r="J283" s="363">
        <f>IFERROR(VLOOKUP(Table6[[#This Row],[Affected WTG]],'Basic Data'!$A$3:$E$56,5,0),"")</f>
        <v>2.564102564102564E-2</v>
      </c>
      <c r="K283" s="121" t="s">
        <v>492</v>
      </c>
      <c r="L283" s="39" t="str">
        <f>IFERROR(VLOOKUP(Table6[[#This Row],[Error Code]],'Basic Data'!$T:$U,2,0),"")</f>
        <v>Manual Stop - Safety Related</v>
      </c>
      <c r="M283" s="364" t="s">
        <v>481</v>
      </c>
      <c r="O283" s="365">
        <v>0</v>
      </c>
      <c r="P283" s="365">
        <v>0.99930555555555556</v>
      </c>
      <c r="Q283" s="365">
        <v>0.99930555555555556</v>
      </c>
      <c r="R283" s="366">
        <f>IF(Table6[[#This Row],[Work Start TimeStamp]]="","",(Table6[[#This Row],[Work Start TimeStamp]]-Table6[[#This Row],[Fault Start TimeStamp]])*24)</f>
        <v>23.983333333333334</v>
      </c>
      <c r="S283" s="367">
        <f>(Table6[[#This Row],[Fault Clearance time]]-Table6[[#This Row],[Work Start TimeStamp]])*24</f>
        <v>0</v>
      </c>
      <c r="T283" s="368">
        <f>(Table6[[#This Row],[Fault Clearance time]]-Table6[[#This Row],[Fault Start TimeStamp]])*24</f>
        <v>23.983333333333334</v>
      </c>
      <c r="U283" s="364" t="s">
        <v>498</v>
      </c>
      <c r="V283" s="369" t="s">
        <v>473</v>
      </c>
      <c r="W283" s="354">
        <f>Table6[[#This Row],[Breakdown Time]]*(1/39)</f>
        <v>0.61495726495726499</v>
      </c>
      <c r="X283" s="352" t="s">
        <v>468</v>
      </c>
      <c r="Y283" s="370" t="s">
        <v>141</v>
      </c>
      <c r="Z283" s="121">
        <v>12542</v>
      </c>
      <c r="AA283" s="123">
        <v>12533.29027777778</v>
      </c>
      <c r="AB283" s="121" t="s">
        <v>478</v>
      </c>
    </row>
    <row r="284" spans="1:28">
      <c r="A284" s="121">
        <f t="shared" si="4"/>
        <v>283</v>
      </c>
      <c r="B284" s="123">
        <f>YEAR(Table6[[#This Row],[Date]])+IF(MONTH(Table6[[#This Row],[Date]])&gt;=4,1,0)</f>
        <v>2026</v>
      </c>
      <c r="C284" s="121">
        <f>YEAR(Table6[[#This Row],[Date]])</f>
        <v>2025</v>
      </c>
      <c r="D284" s="121" t="s">
        <v>490</v>
      </c>
      <c r="E284" s="135">
        <f>Table6[[#This Row],[Date]]-DAY(Table6[[#This Row],[Date]])+1</f>
        <v>45748</v>
      </c>
      <c r="F284" s="134">
        <v>45757</v>
      </c>
      <c r="G284" s="121" t="s">
        <v>118</v>
      </c>
      <c r="H284" s="39" t="str">
        <f>_xlfn.XLOOKUP(Table6[[#This Row],[Affected WTG]],'Basic Data'!$A:$A,'Basic Data'!$B:$B)</f>
        <v>PWEGPL</v>
      </c>
      <c r="I284" s="39" t="str">
        <f>_xlfn.XLOOKUP(Table6[[#This Row],[Affected WTG]],'Basic Data'!$A:$A,'Basic Data'!$C:$C)</f>
        <v>MSEDCL</v>
      </c>
      <c r="J284" s="363">
        <f>IFERROR(VLOOKUP(Table6[[#This Row],[Affected WTG]],'Basic Data'!$A$3:$E$56,5,0),"")</f>
        <v>2.564102564102564E-2</v>
      </c>
      <c r="K284" s="121">
        <v>5200</v>
      </c>
      <c r="L284" s="39" t="str">
        <f>IFERROR(VLOOKUP(Table6[[#This Row],[Error Code]],'Basic Data'!$T:$U,2,0),"")</f>
        <v>Magnetothermic Trigger Of The Line Protection</v>
      </c>
      <c r="M284" s="364" t="s">
        <v>462</v>
      </c>
      <c r="O284" s="365">
        <v>0.60763888888888884</v>
      </c>
      <c r="P284" s="365">
        <v>0.64722222222222225</v>
      </c>
      <c r="Q284" s="365">
        <v>0.65</v>
      </c>
      <c r="R284" s="366">
        <f>IF(Table6[[#This Row],[Work Start TimeStamp]]="","",(Table6[[#This Row],[Work Start TimeStamp]]-Table6[[#This Row],[Fault Start TimeStamp]])*24)</f>
        <v>0.95000000000000195</v>
      </c>
      <c r="S284" s="367">
        <f>(Table6[[#This Row],[Fault Clearance time]]-Table6[[#This Row],[Work Start TimeStamp]])*24</f>
        <v>6.666666666666643E-2</v>
      </c>
      <c r="T284" s="368">
        <f>(Table6[[#This Row],[Fault Clearance time]]-Table6[[#This Row],[Fault Start TimeStamp]])*24</f>
        <v>1.0166666666666684</v>
      </c>
      <c r="U284" s="364" t="s">
        <v>491</v>
      </c>
      <c r="V284" s="369" t="s">
        <v>463</v>
      </c>
      <c r="W284" s="354">
        <f>Table6[[#This Row],[Breakdown Time]]*(1/39)</f>
        <v>2.6068376068376111E-2</v>
      </c>
      <c r="X284" s="352" t="s">
        <v>465</v>
      </c>
      <c r="Y284" s="370" t="s">
        <v>117</v>
      </c>
      <c r="Z284" s="121">
        <v>13120</v>
      </c>
      <c r="AA284" s="123">
        <v>555.77777777777862</v>
      </c>
      <c r="AB284" s="121" t="s">
        <v>478</v>
      </c>
    </row>
    <row r="285" spans="1:28">
      <c r="A285" s="121">
        <f t="shared" si="4"/>
        <v>284</v>
      </c>
      <c r="B285" s="123">
        <f>YEAR(Table6[[#This Row],[Date]])+IF(MONTH(Table6[[#This Row],[Date]])&gt;=4,1,0)</f>
        <v>2026</v>
      </c>
      <c r="C285" s="121">
        <f>YEAR(Table6[[#This Row],[Date]])</f>
        <v>2025</v>
      </c>
      <c r="D285" s="121" t="s">
        <v>490</v>
      </c>
      <c r="E285" s="135">
        <f>Table6[[#This Row],[Date]]-DAY(Table6[[#This Row],[Date]])+1</f>
        <v>45748</v>
      </c>
      <c r="F285" s="134">
        <v>45757</v>
      </c>
      <c r="G285" s="121" t="s">
        <v>121</v>
      </c>
      <c r="H285" s="39" t="str">
        <f>_xlfn.XLOOKUP(Table6[[#This Row],[Affected WTG]],'Basic Data'!$A:$A,'Basic Data'!$B:$B)</f>
        <v>PWEGPL</v>
      </c>
      <c r="I285" s="39" t="str">
        <f>_xlfn.XLOOKUP(Table6[[#This Row],[Affected WTG]],'Basic Data'!$A:$A,'Basic Data'!$C:$C)</f>
        <v>MSEDCL</v>
      </c>
      <c r="J285" s="363">
        <f>IFERROR(VLOOKUP(Table6[[#This Row],[Affected WTG]],'Basic Data'!$A$3:$E$56,5,0),"")</f>
        <v>2.564102564102564E-2</v>
      </c>
      <c r="K285" s="121">
        <v>211</v>
      </c>
      <c r="L285" s="39" t="str">
        <f>IFERROR(VLOOKUP(Table6[[#This Row],[Error Code]],'Basic Data'!$T:$U,2,0),"")</f>
        <v>Hydraulic HUB Filter Dirty</v>
      </c>
      <c r="M285" s="364" t="s">
        <v>462</v>
      </c>
      <c r="O285" s="365">
        <v>0.61458333333333337</v>
      </c>
      <c r="P285" s="365">
        <v>0.66874999999999996</v>
      </c>
      <c r="Q285" s="365">
        <v>0.67013888888888884</v>
      </c>
      <c r="R285" s="366">
        <f>IF(Table6[[#This Row],[Work Start TimeStamp]]="","",(Table6[[#This Row],[Work Start TimeStamp]]-Table6[[#This Row],[Fault Start TimeStamp]])*24)</f>
        <v>1.299999999999998</v>
      </c>
      <c r="S285" s="367">
        <f>(Table6[[#This Row],[Fault Clearance time]]-Table6[[#This Row],[Work Start TimeStamp]])*24</f>
        <v>3.3333333333333215E-2</v>
      </c>
      <c r="T285" s="368">
        <f>(Table6[[#This Row],[Fault Clearance time]]-Table6[[#This Row],[Fault Start TimeStamp]])*24</f>
        <v>1.3333333333333313</v>
      </c>
      <c r="U285" s="364" t="s">
        <v>493</v>
      </c>
      <c r="V285" s="369" t="s">
        <v>463</v>
      </c>
      <c r="W285" s="354">
        <f>Table6[[#This Row],[Breakdown Time]]*(1/39)</f>
        <v>3.4188034188034136E-2</v>
      </c>
      <c r="X285" s="352" t="s">
        <v>465</v>
      </c>
      <c r="Y285" s="370" t="s">
        <v>115</v>
      </c>
      <c r="Z285" s="121">
        <v>14750</v>
      </c>
      <c r="AA285" s="123">
        <v>819.44444444444321</v>
      </c>
      <c r="AB285" s="121" t="s">
        <v>478</v>
      </c>
    </row>
    <row r="286" spans="1:28">
      <c r="A286" s="121">
        <f t="shared" si="4"/>
        <v>285</v>
      </c>
      <c r="B286" s="123">
        <f>YEAR(Table6[[#This Row],[Date]])+IF(MONTH(Table6[[#This Row],[Date]])&gt;=4,1,0)</f>
        <v>2026</v>
      </c>
      <c r="C286" s="121">
        <f>YEAR(Table6[[#This Row],[Date]])</f>
        <v>2025</v>
      </c>
      <c r="D286" s="121" t="s">
        <v>490</v>
      </c>
      <c r="E286" s="135">
        <f>Table6[[#This Row],[Date]]-DAY(Table6[[#This Row],[Date]])+1</f>
        <v>45748</v>
      </c>
      <c r="F286" s="134">
        <v>45757</v>
      </c>
      <c r="G286" s="121" t="s">
        <v>126</v>
      </c>
      <c r="H286" s="39" t="str">
        <f>_xlfn.XLOOKUP(Table6[[#This Row],[Affected WTG]],'Basic Data'!$A:$A,'Basic Data'!$B:$B)</f>
        <v>PWEGPL</v>
      </c>
      <c r="I286" s="39" t="str">
        <f>_xlfn.XLOOKUP(Table6[[#This Row],[Affected WTG]],'Basic Data'!$A:$A,'Basic Data'!$C:$C)</f>
        <v>MSEDCL</v>
      </c>
      <c r="J286" s="363">
        <f>IFERROR(VLOOKUP(Table6[[#This Row],[Affected WTG]],'Basic Data'!$A$3:$E$56,5,0),"")</f>
        <v>2.564102564102564E-2</v>
      </c>
      <c r="K286" s="121">
        <v>203</v>
      </c>
      <c r="L286" s="39" t="str">
        <f>IFERROR(VLOOKUP(Table6[[#This Row],[Error Code]],'Basic Data'!$T:$U,2,0),"")</f>
        <v>Low Pressure On Hydraulic Group</v>
      </c>
      <c r="M286" s="364" t="s">
        <v>462</v>
      </c>
      <c r="O286" s="365">
        <v>0.58472222222222225</v>
      </c>
      <c r="P286" s="365">
        <v>0.60763888888888884</v>
      </c>
      <c r="Q286" s="365">
        <v>0.61458333333333337</v>
      </c>
      <c r="R286" s="366">
        <f>IF(Table6[[#This Row],[Work Start TimeStamp]]="","",(Table6[[#This Row],[Work Start TimeStamp]]-Table6[[#This Row],[Fault Start TimeStamp]])*24)</f>
        <v>0.54999999999999805</v>
      </c>
      <c r="S286" s="367">
        <f>(Table6[[#This Row],[Fault Clearance time]]-Table6[[#This Row],[Work Start TimeStamp]])*24</f>
        <v>0.16666666666666874</v>
      </c>
      <c r="T286" s="368">
        <f>(Table6[[#This Row],[Fault Clearance time]]-Table6[[#This Row],[Fault Start TimeStamp]])*24</f>
        <v>0.71666666666666679</v>
      </c>
      <c r="U286" s="364" t="s">
        <v>491</v>
      </c>
      <c r="V286" s="369" t="s">
        <v>463</v>
      </c>
      <c r="W286" s="354">
        <f>Table6[[#This Row],[Breakdown Time]]*(1/39)</f>
        <v>1.837606837606838E-2</v>
      </c>
      <c r="X286" s="352" t="s">
        <v>465</v>
      </c>
      <c r="Y286" s="370" t="s">
        <v>127</v>
      </c>
      <c r="Z286" s="121">
        <v>11088</v>
      </c>
      <c r="AA286" s="123">
        <v>331.10000000000008</v>
      </c>
      <c r="AB286" s="121" t="s">
        <v>478</v>
      </c>
    </row>
    <row r="287" spans="1:28">
      <c r="A287" s="121">
        <f t="shared" si="4"/>
        <v>286</v>
      </c>
      <c r="B287" s="123">
        <f>YEAR(Table6[[#This Row],[Date]])+IF(MONTH(Table6[[#This Row],[Date]])&gt;=4,1,0)</f>
        <v>2026</v>
      </c>
      <c r="C287" s="121">
        <f>YEAR(Table6[[#This Row],[Date]])</f>
        <v>2025</v>
      </c>
      <c r="D287" s="121" t="s">
        <v>490</v>
      </c>
      <c r="E287" s="135">
        <f>Table6[[#This Row],[Date]]-DAY(Table6[[#This Row],[Date]])+1</f>
        <v>45748</v>
      </c>
      <c r="F287" s="134">
        <v>45757</v>
      </c>
      <c r="G287" s="121" t="s">
        <v>128</v>
      </c>
      <c r="H287" s="39" t="str">
        <f>_xlfn.XLOOKUP(Table6[[#This Row],[Affected WTG]],'Basic Data'!$A:$A,'Basic Data'!$B:$B)</f>
        <v>PWEGPL</v>
      </c>
      <c r="I287" s="39" t="str">
        <f>_xlfn.XLOOKUP(Table6[[#This Row],[Affected WTG]],'Basic Data'!$A:$A,'Basic Data'!$C:$C)</f>
        <v>MSEDCL</v>
      </c>
      <c r="J287" s="363">
        <f>IFERROR(VLOOKUP(Table6[[#This Row],[Affected WTG]],'Basic Data'!$A$3:$E$56,5,0),"")</f>
        <v>2.564102564102564E-2</v>
      </c>
      <c r="K287" s="121" t="s">
        <v>466</v>
      </c>
      <c r="L287" s="39" t="str">
        <f>IFERROR(VLOOKUP(Table6[[#This Row],[Error Code]],'Basic Data'!$T:$U,2,0),"")</f>
        <v>Manual Stop</v>
      </c>
      <c r="M287" s="364" t="s">
        <v>479</v>
      </c>
      <c r="O287" s="365">
        <v>0.51527777777777772</v>
      </c>
      <c r="P287" s="365">
        <v>0.51527777777777772</v>
      </c>
      <c r="Q287" s="365">
        <v>0.71180555555555558</v>
      </c>
      <c r="R287" s="366">
        <f>IF(Table6[[#This Row],[Work Start TimeStamp]]="","",(Table6[[#This Row],[Work Start TimeStamp]]-Table6[[#This Row],[Fault Start TimeStamp]])*24)</f>
        <v>0</v>
      </c>
      <c r="S287" s="367">
        <f>(Table6[[#This Row],[Fault Clearance time]]-Table6[[#This Row],[Work Start TimeStamp]])*24</f>
        <v>4.7166666666666686</v>
      </c>
      <c r="T287" s="368">
        <f>(Table6[[#This Row],[Fault Clearance time]]-Table6[[#This Row],[Fault Start TimeStamp]])*24</f>
        <v>4.7166666666666686</v>
      </c>
      <c r="U287" s="364" t="s">
        <v>496</v>
      </c>
      <c r="V287" s="369" t="s">
        <v>463</v>
      </c>
      <c r="W287" s="354">
        <f>Table6[[#This Row],[Breakdown Time]]*(1/39)</f>
        <v>0.12094017094017098</v>
      </c>
      <c r="X287" s="352" t="s">
        <v>464</v>
      </c>
      <c r="Y287" s="370" t="s">
        <v>129</v>
      </c>
      <c r="Z287" s="121">
        <v>14296</v>
      </c>
      <c r="AA287" s="123">
        <v>2809.561111111112</v>
      </c>
      <c r="AB287" s="121" t="s">
        <v>478</v>
      </c>
    </row>
    <row r="288" spans="1:28">
      <c r="A288" s="121">
        <f t="shared" si="4"/>
        <v>287</v>
      </c>
      <c r="B288" s="123">
        <f>YEAR(Table6[[#This Row],[Date]])+IF(MONTH(Table6[[#This Row],[Date]])&gt;=4,1,0)</f>
        <v>2026</v>
      </c>
      <c r="C288" s="121">
        <f>YEAR(Table6[[#This Row],[Date]])</f>
        <v>2025</v>
      </c>
      <c r="D288" s="121" t="s">
        <v>490</v>
      </c>
      <c r="E288" s="135">
        <f>Table6[[#This Row],[Date]]-DAY(Table6[[#This Row],[Date]])+1</f>
        <v>45748</v>
      </c>
      <c r="F288" s="134">
        <v>45758</v>
      </c>
      <c r="G288" s="121" t="s">
        <v>144</v>
      </c>
      <c r="H288" s="39" t="str">
        <f>_xlfn.XLOOKUP(Table6[[#This Row],[Affected WTG]],'Basic Data'!$A:$A,'Basic Data'!$B:$B)</f>
        <v>PWEGPL</v>
      </c>
      <c r="I288" s="39" t="str">
        <f>_xlfn.XLOOKUP(Table6[[#This Row],[Affected WTG]],'Basic Data'!$A:$A,'Basic Data'!$C:$C)</f>
        <v>MSEDCL</v>
      </c>
      <c r="J288" s="363">
        <f>IFERROR(VLOOKUP(Table6[[#This Row],[Affected WTG]],'Basic Data'!$A$3:$E$56,5,0),"")</f>
        <v>2.564102564102564E-2</v>
      </c>
      <c r="K288" s="121" t="s">
        <v>492</v>
      </c>
      <c r="L288" s="39" t="str">
        <f>IFERROR(VLOOKUP(Table6[[#This Row],[Error Code]],'Basic Data'!$T:$U,2,0),"")</f>
        <v>Manual Stop - Safety Related</v>
      </c>
      <c r="M288" s="364" t="s">
        <v>481</v>
      </c>
      <c r="O288" s="365">
        <v>0</v>
      </c>
      <c r="P288" s="365">
        <v>0.99930555555555556</v>
      </c>
      <c r="Q288" s="365">
        <v>0.99930555555555556</v>
      </c>
      <c r="R288" s="366">
        <f>IF(Table6[[#This Row],[Work Start TimeStamp]]="","",(Table6[[#This Row],[Work Start TimeStamp]]-Table6[[#This Row],[Fault Start TimeStamp]])*24)</f>
        <v>23.983333333333334</v>
      </c>
      <c r="S288" s="367">
        <f>(Table6[[#This Row],[Fault Clearance time]]-Table6[[#This Row],[Work Start TimeStamp]])*24</f>
        <v>0</v>
      </c>
      <c r="T288" s="368">
        <f>(Table6[[#This Row],[Fault Clearance time]]-Table6[[#This Row],[Fault Start TimeStamp]])*24</f>
        <v>23.983333333333334</v>
      </c>
      <c r="U288" s="364" t="s">
        <v>498</v>
      </c>
      <c r="V288" s="369" t="s">
        <v>473</v>
      </c>
      <c r="W288" s="354">
        <f>Table6[[#This Row],[Breakdown Time]]*(1/39)</f>
        <v>0.61495726495726499</v>
      </c>
      <c r="X288" s="352" t="s">
        <v>468</v>
      </c>
      <c r="Y288" s="370" t="s">
        <v>141</v>
      </c>
      <c r="Z288" s="121">
        <v>14802</v>
      </c>
      <c r="AA288" s="123">
        <v>14791.720833333335</v>
      </c>
      <c r="AB288" s="121" t="s">
        <v>478</v>
      </c>
    </row>
    <row r="289" spans="1:28">
      <c r="A289" s="121">
        <f t="shared" si="4"/>
        <v>288</v>
      </c>
      <c r="B289" s="123">
        <f>YEAR(Table6[[#This Row],[Date]])+IF(MONTH(Table6[[#This Row],[Date]])&gt;=4,1,0)</f>
        <v>2026</v>
      </c>
      <c r="C289" s="121">
        <f>YEAR(Table6[[#This Row],[Date]])</f>
        <v>2025</v>
      </c>
      <c r="D289" s="121" t="s">
        <v>490</v>
      </c>
      <c r="E289" s="135">
        <f>Table6[[#This Row],[Date]]-DAY(Table6[[#This Row],[Date]])+1</f>
        <v>45748</v>
      </c>
      <c r="F289" s="134">
        <v>45758</v>
      </c>
      <c r="G289" s="121" t="s">
        <v>142</v>
      </c>
      <c r="H289" s="39" t="str">
        <f>_xlfn.XLOOKUP(Table6[[#This Row],[Affected WTG]],'Basic Data'!$A:$A,'Basic Data'!$B:$B)</f>
        <v>PWEGPL</v>
      </c>
      <c r="I289" s="39" t="str">
        <f>_xlfn.XLOOKUP(Table6[[#This Row],[Affected WTG]],'Basic Data'!$A:$A,'Basic Data'!$C:$C)</f>
        <v>MSEDCL</v>
      </c>
      <c r="J289" s="363">
        <f>IFERROR(VLOOKUP(Table6[[#This Row],[Affected WTG]],'Basic Data'!$A$3:$E$56,5,0),"")</f>
        <v>2.564102564102564E-2</v>
      </c>
      <c r="K289" s="121" t="s">
        <v>492</v>
      </c>
      <c r="L289" s="39" t="str">
        <f>IFERROR(VLOOKUP(Table6[[#This Row],[Error Code]],'Basic Data'!$T:$U,2,0),"")</f>
        <v>Manual Stop - Safety Related</v>
      </c>
      <c r="M289" s="364" t="s">
        <v>481</v>
      </c>
      <c r="O289" s="365">
        <v>0</v>
      </c>
      <c r="P289" s="365">
        <v>0.99930555555555556</v>
      </c>
      <c r="Q289" s="365">
        <v>0.99930555555555556</v>
      </c>
      <c r="R289" s="366">
        <f>IF(Table6[[#This Row],[Work Start TimeStamp]]="","",(Table6[[#This Row],[Work Start TimeStamp]]-Table6[[#This Row],[Fault Start TimeStamp]])*24)</f>
        <v>23.983333333333334</v>
      </c>
      <c r="S289" s="367">
        <f>(Table6[[#This Row],[Fault Clearance time]]-Table6[[#This Row],[Work Start TimeStamp]])*24</f>
        <v>0</v>
      </c>
      <c r="T289" s="368">
        <f>(Table6[[#This Row],[Fault Clearance time]]-Table6[[#This Row],[Fault Start TimeStamp]])*24</f>
        <v>23.983333333333334</v>
      </c>
      <c r="U289" s="364" t="s">
        <v>498</v>
      </c>
      <c r="V289" s="369" t="s">
        <v>473</v>
      </c>
      <c r="W289" s="354">
        <f>Table6[[#This Row],[Breakdown Time]]*(1/39)</f>
        <v>0.61495726495726499</v>
      </c>
      <c r="X289" s="352" t="s">
        <v>468</v>
      </c>
      <c r="Y289" s="370" t="s">
        <v>141</v>
      </c>
      <c r="Z289" s="121">
        <v>14802</v>
      </c>
      <c r="AA289" s="123">
        <v>14791.720833333335</v>
      </c>
      <c r="AB289" s="121" t="s">
        <v>478</v>
      </c>
    </row>
    <row r="290" spans="1:28">
      <c r="A290" s="121">
        <f t="shared" si="4"/>
        <v>289</v>
      </c>
      <c r="B290" s="123">
        <f>YEAR(Table6[[#This Row],[Date]])+IF(MONTH(Table6[[#This Row],[Date]])&gt;=4,1,0)</f>
        <v>2026</v>
      </c>
      <c r="C290" s="121">
        <f>YEAR(Table6[[#This Row],[Date]])</f>
        <v>2025</v>
      </c>
      <c r="D290" s="121" t="s">
        <v>490</v>
      </c>
      <c r="E290" s="135">
        <f>Table6[[#This Row],[Date]]-DAY(Table6[[#This Row],[Date]])+1</f>
        <v>45748</v>
      </c>
      <c r="F290" s="134">
        <v>45758</v>
      </c>
      <c r="G290" s="121" t="s">
        <v>117</v>
      </c>
      <c r="H290" s="39" t="str">
        <f>_xlfn.XLOOKUP(Table6[[#This Row],[Affected WTG]],'Basic Data'!$A:$A,'Basic Data'!$B:$B)</f>
        <v>PWEGPL</v>
      </c>
      <c r="I290" s="39" t="str">
        <f>_xlfn.XLOOKUP(Table6[[#This Row],[Affected WTG]],'Basic Data'!$A:$A,'Basic Data'!$C:$C)</f>
        <v>MSEDCL</v>
      </c>
      <c r="J290" s="363">
        <f>IFERROR(VLOOKUP(Table6[[#This Row],[Affected WTG]],'Basic Data'!$A$3:$E$56,5,0),"")</f>
        <v>2.564102564102564E-2</v>
      </c>
      <c r="K290" s="121" t="s">
        <v>487</v>
      </c>
      <c r="L290" s="39" t="str">
        <f>IFERROR(VLOOKUP(Table6[[#This Row],[Error Code]],'Basic Data'!$T:$U,2,0),"")</f>
        <v>General Work Stoppage</v>
      </c>
      <c r="M290" s="364" t="s">
        <v>479</v>
      </c>
      <c r="O290" s="365">
        <v>0.49305555555555558</v>
      </c>
      <c r="P290" s="365">
        <v>0.49305555555555558</v>
      </c>
      <c r="Q290" s="365">
        <v>0.55208333333333337</v>
      </c>
      <c r="R290" s="366">
        <f>IF(Table6[[#This Row],[Work Start TimeStamp]]="","",(Table6[[#This Row],[Work Start TimeStamp]]-Table6[[#This Row],[Fault Start TimeStamp]])*24)</f>
        <v>0</v>
      </c>
      <c r="S290" s="367">
        <f>(Table6[[#This Row],[Fault Clearance time]]-Table6[[#This Row],[Work Start TimeStamp]])*24</f>
        <v>1.416666666666667</v>
      </c>
      <c r="T290" s="368">
        <f>(Table6[[#This Row],[Fault Clearance time]]-Table6[[#This Row],[Fault Start TimeStamp]])*24</f>
        <v>1.416666666666667</v>
      </c>
      <c r="U290" s="364" t="s">
        <v>543</v>
      </c>
      <c r="V290" s="369" t="s">
        <v>463</v>
      </c>
      <c r="W290" s="354">
        <f>Table6[[#This Row],[Breakdown Time]]*(1/39)</f>
        <v>3.6324786324786335E-2</v>
      </c>
      <c r="X290" s="352" t="s">
        <v>464</v>
      </c>
      <c r="Y290" s="370" t="s">
        <v>118</v>
      </c>
      <c r="Z290" s="121">
        <v>14379</v>
      </c>
      <c r="AA290" s="123">
        <v>848.76041666666686</v>
      </c>
      <c r="AB290" s="121" t="s">
        <v>478</v>
      </c>
    </row>
    <row r="291" spans="1:28">
      <c r="A291" s="121">
        <f t="shared" si="4"/>
        <v>290</v>
      </c>
      <c r="B291" s="123">
        <f>YEAR(Table6[[#This Row],[Date]])+IF(MONTH(Table6[[#This Row],[Date]])&gt;=4,1,0)</f>
        <v>2026</v>
      </c>
      <c r="C291" s="121">
        <f>YEAR(Table6[[#This Row],[Date]])</f>
        <v>2025</v>
      </c>
      <c r="D291" s="121" t="s">
        <v>490</v>
      </c>
      <c r="E291" s="135">
        <f>Table6[[#This Row],[Date]]-DAY(Table6[[#This Row],[Date]])+1</f>
        <v>45748</v>
      </c>
      <c r="F291" s="134">
        <v>45758</v>
      </c>
      <c r="G291" s="121" t="s">
        <v>118</v>
      </c>
      <c r="H291" s="39" t="str">
        <f>_xlfn.XLOOKUP(Table6[[#This Row],[Affected WTG]],'Basic Data'!$A:$A,'Basic Data'!$B:$B)</f>
        <v>PWEGPL</v>
      </c>
      <c r="I291" s="39" t="str">
        <f>_xlfn.XLOOKUP(Table6[[#This Row],[Affected WTG]],'Basic Data'!$A:$A,'Basic Data'!$C:$C)</f>
        <v>MSEDCL</v>
      </c>
      <c r="J291" s="363">
        <f>IFERROR(VLOOKUP(Table6[[#This Row],[Affected WTG]],'Basic Data'!$A$3:$E$56,5,0),"")</f>
        <v>2.564102564102564E-2</v>
      </c>
      <c r="K291" s="121" t="s">
        <v>487</v>
      </c>
      <c r="L291" s="39" t="str">
        <f>IFERROR(VLOOKUP(Table6[[#This Row],[Error Code]],'Basic Data'!$T:$U,2,0),"")</f>
        <v>General Work Stoppage</v>
      </c>
      <c r="M291" s="364" t="s">
        <v>479</v>
      </c>
      <c r="O291" s="365">
        <v>0.5625</v>
      </c>
      <c r="P291" s="365">
        <v>0.5625</v>
      </c>
      <c r="Q291" s="365">
        <v>0.59375</v>
      </c>
      <c r="R291" s="366">
        <f>IF(Table6[[#This Row],[Work Start TimeStamp]]="","",(Table6[[#This Row],[Work Start TimeStamp]]-Table6[[#This Row],[Fault Start TimeStamp]])*24)</f>
        <v>0</v>
      </c>
      <c r="S291" s="367">
        <f>(Table6[[#This Row],[Fault Clearance time]]-Table6[[#This Row],[Work Start TimeStamp]])*24</f>
        <v>0.75</v>
      </c>
      <c r="T291" s="368">
        <f>(Table6[[#This Row],[Fault Clearance time]]-Table6[[#This Row],[Fault Start TimeStamp]])*24</f>
        <v>0.75</v>
      </c>
      <c r="U291" s="364" t="s">
        <v>544</v>
      </c>
      <c r="V291" s="369" t="s">
        <v>463</v>
      </c>
      <c r="W291" s="354">
        <f>Table6[[#This Row],[Breakdown Time]]*(1/39)</f>
        <v>1.9230769230769232E-2</v>
      </c>
      <c r="X291" s="352" t="s">
        <v>464</v>
      </c>
      <c r="Y291" s="370" t="s">
        <v>117</v>
      </c>
      <c r="Z291" s="121">
        <v>14285</v>
      </c>
      <c r="AA291" s="123">
        <v>446.40625</v>
      </c>
      <c r="AB291" s="121" t="s">
        <v>478</v>
      </c>
    </row>
    <row r="292" spans="1:28">
      <c r="A292" s="121">
        <f t="shared" si="4"/>
        <v>291</v>
      </c>
      <c r="B292" s="123">
        <f>YEAR(Table6[[#This Row],[Date]])+IF(MONTH(Table6[[#This Row],[Date]])&gt;=4,1,0)</f>
        <v>2026</v>
      </c>
      <c r="C292" s="121">
        <f>YEAR(Table6[[#This Row],[Date]])</f>
        <v>2025</v>
      </c>
      <c r="D292" s="121" t="s">
        <v>490</v>
      </c>
      <c r="E292" s="135">
        <f>Table6[[#This Row],[Date]]-DAY(Table6[[#This Row],[Date]])+1</f>
        <v>45748</v>
      </c>
      <c r="F292" s="134">
        <v>45758</v>
      </c>
      <c r="G292" s="121" t="s">
        <v>121</v>
      </c>
      <c r="H292" s="39" t="str">
        <f>_xlfn.XLOOKUP(Table6[[#This Row],[Affected WTG]],'Basic Data'!$A:$A,'Basic Data'!$B:$B)</f>
        <v>PWEGPL</v>
      </c>
      <c r="I292" s="39" t="str">
        <f>_xlfn.XLOOKUP(Table6[[#This Row],[Affected WTG]],'Basic Data'!$A:$A,'Basic Data'!$C:$C)</f>
        <v>MSEDCL</v>
      </c>
      <c r="J292" s="363">
        <f>IFERROR(VLOOKUP(Table6[[#This Row],[Affected WTG]],'Basic Data'!$A$3:$E$56,5,0),"")</f>
        <v>2.564102564102564E-2</v>
      </c>
      <c r="K292" s="121" t="s">
        <v>487</v>
      </c>
      <c r="L292" s="39" t="str">
        <f>IFERROR(VLOOKUP(Table6[[#This Row],[Error Code]],'Basic Data'!$T:$U,2,0),"")</f>
        <v>General Work Stoppage</v>
      </c>
      <c r="M292" s="364" t="s">
        <v>479</v>
      </c>
      <c r="O292" s="365">
        <v>0.63749999999999996</v>
      </c>
      <c r="P292" s="365">
        <v>0.63749999999999996</v>
      </c>
      <c r="Q292" s="365">
        <v>0.66805555555555551</v>
      </c>
      <c r="R292" s="366">
        <f>IF(Table6[[#This Row],[Work Start TimeStamp]]="","",(Table6[[#This Row],[Work Start TimeStamp]]-Table6[[#This Row],[Fault Start TimeStamp]])*24)</f>
        <v>0</v>
      </c>
      <c r="S292" s="367">
        <f>(Table6[[#This Row],[Fault Clearance time]]-Table6[[#This Row],[Work Start TimeStamp]])*24</f>
        <v>0.73333333333333339</v>
      </c>
      <c r="T292" s="368">
        <f>(Table6[[#This Row],[Fault Clearance time]]-Table6[[#This Row],[Fault Start TimeStamp]])*24</f>
        <v>0.73333333333333339</v>
      </c>
      <c r="U292" s="364" t="s">
        <v>544</v>
      </c>
      <c r="V292" s="369" t="s">
        <v>463</v>
      </c>
      <c r="W292" s="354">
        <f>Table6[[#This Row],[Breakdown Time]]*(1/39)</f>
        <v>1.8803418803418806E-2</v>
      </c>
      <c r="X292" s="352" t="s">
        <v>464</v>
      </c>
      <c r="Y292" s="370" t="s">
        <v>115</v>
      </c>
      <c r="Z292" s="121">
        <v>14293</v>
      </c>
      <c r="AA292" s="123">
        <v>436.73055555555555</v>
      </c>
      <c r="AB292" s="121" t="s">
        <v>478</v>
      </c>
    </row>
    <row r="293" spans="1:28">
      <c r="A293" s="121">
        <f t="shared" si="4"/>
        <v>292</v>
      </c>
      <c r="B293" s="123">
        <f>YEAR(Table6[[#This Row],[Date]])+IF(MONTH(Table6[[#This Row],[Date]])&gt;=4,1,0)</f>
        <v>2026</v>
      </c>
      <c r="C293" s="121">
        <f>YEAR(Table6[[#This Row],[Date]])</f>
        <v>2025</v>
      </c>
      <c r="D293" s="121" t="s">
        <v>490</v>
      </c>
      <c r="E293" s="135">
        <f>Table6[[#This Row],[Date]]-DAY(Table6[[#This Row],[Date]])+1</f>
        <v>45748</v>
      </c>
      <c r="F293" s="134">
        <v>45759</v>
      </c>
      <c r="G293" s="121" t="s">
        <v>144</v>
      </c>
      <c r="H293" s="39" t="str">
        <f>_xlfn.XLOOKUP(Table6[[#This Row],[Affected WTG]],'Basic Data'!$A:$A,'Basic Data'!$B:$B)</f>
        <v>PWEGPL</v>
      </c>
      <c r="I293" s="39" t="str">
        <f>_xlfn.XLOOKUP(Table6[[#This Row],[Affected WTG]],'Basic Data'!$A:$A,'Basic Data'!$C:$C)</f>
        <v>MSEDCL</v>
      </c>
      <c r="J293" s="363">
        <f>IFERROR(VLOOKUP(Table6[[#This Row],[Affected WTG]],'Basic Data'!$A$3:$E$56,5,0),"")</f>
        <v>2.564102564102564E-2</v>
      </c>
      <c r="K293" s="121" t="s">
        <v>492</v>
      </c>
      <c r="L293" s="39" t="str">
        <f>IFERROR(VLOOKUP(Table6[[#This Row],[Error Code]],'Basic Data'!$T:$U,2,0),"")</f>
        <v>Manual Stop - Safety Related</v>
      </c>
      <c r="M293" s="364" t="s">
        <v>481</v>
      </c>
      <c r="O293" s="365">
        <v>0</v>
      </c>
      <c r="P293" s="365">
        <v>0.99930555555555556</v>
      </c>
      <c r="Q293" s="365">
        <v>0.99930555555555556</v>
      </c>
      <c r="R293" s="366">
        <f>IF(Table6[[#This Row],[Work Start TimeStamp]]="","",(Table6[[#This Row],[Work Start TimeStamp]]-Table6[[#This Row],[Fault Start TimeStamp]])*24)</f>
        <v>23.983333333333334</v>
      </c>
      <c r="S293" s="367">
        <f>(Table6[[#This Row],[Fault Clearance time]]-Table6[[#This Row],[Work Start TimeStamp]])*24</f>
        <v>0</v>
      </c>
      <c r="T293" s="368">
        <f>(Table6[[#This Row],[Fault Clearance time]]-Table6[[#This Row],[Fault Start TimeStamp]])*24</f>
        <v>23.983333333333334</v>
      </c>
      <c r="U293" s="364" t="s">
        <v>498</v>
      </c>
      <c r="V293" s="369" t="s">
        <v>473</v>
      </c>
      <c r="W293" s="354">
        <f>Table6[[#This Row],[Breakdown Time]]*(1/39)</f>
        <v>0.61495726495726499</v>
      </c>
      <c r="X293" s="352" t="s">
        <v>468</v>
      </c>
      <c r="Y293" s="370" t="s">
        <v>141</v>
      </c>
      <c r="Z293" s="121">
        <v>12852</v>
      </c>
      <c r="AA293" s="123">
        <v>12843.075000000001</v>
      </c>
      <c r="AB293" s="121" t="s">
        <v>478</v>
      </c>
    </row>
    <row r="294" spans="1:28">
      <c r="A294" s="121">
        <f t="shared" si="4"/>
        <v>293</v>
      </c>
      <c r="B294" s="123">
        <f>YEAR(Table6[[#This Row],[Date]])+IF(MONTH(Table6[[#This Row],[Date]])&gt;=4,1,0)</f>
        <v>2026</v>
      </c>
      <c r="C294" s="121">
        <f>YEAR(Table6[[#This Row],[Date]])</f>
        <v>2025</v>
      </c>
      <c r="D294" s="121" t="s">
        <v>490</v>
      </c>
      <c r="E294" s="135">
        <f>Table6[[#This Row],[Date]]-DAY(Table6[[#This Row],[Date]])+1</f>
        <v>45748</v>
      </c>
      <c r="F294" s="134">
        <v>45759</v>
      </c>
      <c r="G294" s="121" t="s">
        <v>142</v>
      </c>
      <c r="H294" s="39" t="str">
        <f>_xlfn.XLOOKUP(Table6[[#This Row],[Affected WTG]],'Basic Data'!$A:$A,'Basic Data'!$B:$B)</f>
        <v>PWEGPL</v>
      </c>
      <c r="I294" s="39" t="str">
        <f>_xlfn.XLOOKUP(Table6[[#This Row],[Affected WTG]],'Basic Data'!$A:$A,'Basic Data'!$C:$C)</f>
        <v>MSEDCL</v>
      </c>
      <c r="J294" s="363">
        <f>IFERROR(VLOOKUP(Table6[[#This Row],[Affected WTG]],'Basic Data'!$A$3:$E$56,5,0),"")</f>
        <v>2.564102564102564E-2</v>
      </c>
      <c r="K294" s="121" t="s">
        <v>492</v>
      </c>
      <c r="L294" s="39" t="str">
        <f>IFERROR(VLOOKUP(Table6[[#This Row],[Error Code]],'Basic Data'!$T:$U,2,0),"")</f>
        <v>Manual Stop - Safety Related</v>
      </c>
      <c r="M294" s="364" t="s">
        <v>481</v>
      </c>
      <c r="O294" s="365">
        <v>0</v>
      </c>
      <c r="P294" s="365">
        <v>0.99930555555555556</v>
      </c>
      <c r="Q294" s="365">
        <v>0.99930555555555556</v>
      </c>
      <c r="R294" s="366">
        <f>IF(Table6[[#This Row],[Work Start TimeStamp]]="","",(Table6[[#This Row],[Work Start TimeStamp]]-Table6[[#This Row],[Fault Start TimeStamp]])*24)</f>
        <v>23.983333333333334</v>
      </c>
      <c r="S294" s="367">
        <f>(Table6[[#This Row],[Fault Clearance time]]-Table6[[#This Row],[Work Start TimeStamp]])*24</f>
        <v>0</v>
      </c>
      <c r="T294" s="368">
        <f>(Table6[[#This Row],[Fault Clearance time]]-Table6[[#This Row],[Fault Start TimeStamp]])*24</f>
        <v>23.983333333333334</v>
      </c>
      <c r="U294" s="364" t="s">
        <v>498</v>
      </c>
      <c r="V294" s="369" t="s">
        <v>473</v>
      </c>
      <c r="W294" s="354">
        <f>Table6[[#This Row],[Breakdown Time]]*(1/39)</f>
        <v>0.61495726495726499</v>
      </c>
      <c r="X294" s="352" t="s">
        <v>468</v>
      </c>
      <c r="Y294" s="370" t="s">
        <v>141</v>
      </c>
      <c r="Z294" s="121">
        <v>12852</v>
      </c>
      <c r="AA294" s="123">
        <v>12843.075000000001</v>
      </c>
      <c r="AB294" s="121" t="s">
        <v>478</v>
      </c>
    </row>
    <row r="295" spans="1:28">
      <c r="A295" s="121">
        <f t="shared" si="4"/>
        <v>294</v>
      </c>
      <c r="B295" s="123">
        <f>YEAR(Table6[[#This Row],[Date]])+IF(MONTH(Table6[[#This Row],[Date]])&gt;=4,1,0)</f>
        <v>2026</v>
      </c>
      <c r="C295" s="121">
        <f>YEAR(Table6[[#This Row],[Date]])</f>
        <v>2025</v>
      </c>
      <c r="D295" s="121" t="s">
        <v>490</v>
      </c>
      <c r="E295" s="135">
        <f>Table6[[#This Row],[Date]]-DAY(Table6[[#This Row],[Date]])+1</f>
        <v>45748</v>
      </c>
      <c r="F295" s="134">
        <v>45759</v>
      </c>
      <c r="G295" s="121" t="s">
        <v>115</v>
      </c>
      <c r="H295" s="39" t="str">
        <f>_xlfn.XLOOKUP(Table6[[#This Row],[Affected WTG]],'Basic Data'!$A:$A,'Basic Data'!$B:$B)</f>
        <v>PWEGPL</v>
      </c>
      <c r="I295" s="39" t="str">
        <f>_xlfn.XLOOKUP(Table6[[#This Row],[Affected WTG]],'Basic Data'!$A:$A,'Basic Data'!$C:$C)</f>
        <v>MSEDCL</v>
      </c>
      <c r="J295" s="363">
        <f>IFERROR(VLOOKUP(Table6[[#This Row],[Affected WTG]],'Basic Data'!$A$3:$E$56,5,0),"")</f>
        <v>2.564102564102564E-2</v>
      </c>
      <c r="K295" s="121">
        <v>203</v>
      </c>
      <c r="L295" s="39" t="str">
        <f>IFERROR(VLOOKUP(Table6[[#This Row],[Error Code]],'Basic Data'!$T:$U,2,0),"")</f>
        <v>Low Pressure On Hydraulic Group</v>
      </c>
      <c r="M295" s="364" t="s">
        <v>462</v>
      </c>
      <c r="O295" s="365">
        <v>0.46597222222222223</v>
      </c>
      <c r="P295" s="365">
        <v>0.5131944444444444</v>
      </c>
      <c r="Q295" s="365">
        <v>0.51388888888888884</v>
      </c>
      <c r="R295" s="366">
        <f>IF(Table6[[#This Row],[Work Start TimeStamp]]="","",(Table6[[#This Row],[Work Start TimeStamp]]-Table6[[#This Row],[Fault Start TimeStamp]])*24)</f>
        <v>1.133333333333332</v>
      </c>
      <c r="S295" s="367">
        <f>(Table6[[#This Row],[Fault Clearance time]]-Table6[[#This Row],[Work Start TimeStamp]])*24</f>
        <v>1.6666666666666607E-2</v>
      </c>
      <c r="T295" s="368">
        <f>(Table6[[#This Row],[Fault Clearance time]]-Table6[[#This Row],[Fault Start TimeStamp]])*24</f>
        <v>1.1499999999999986</v>
      </c>
      <c r="U295" s="364" t="s">
        <v>493</v>
      </c>
      <c r="V295" s="369" t="s">
        <v>463</v>
      </c>
      <c r="W295" s="354">
        <f>Table6[[#This Row],[Breakdown Time]]*(1/39)</f>
        <v>2.9487179487179448E-2</v>
      </c>
      <c r="X295" s="352" t="s">
        <v>465</v>
      </c>
      <c r="Y295" s="370" t="s">
        <v>121</v>
      </c>
      <c r="Z295" s="121">
        <v>15693</v>
      </c>
      <c r="AA295" s="123">
        <v>751.95624999999905</v>
      </c>
      <c r="AB295" s="121" t="s">
        <v>478</v>
      </c>
    </row>
    <row r="296" spans="1:28">
      <c r="A296" s="121">
        <f t="shared" si="4"/>
        <v>295</v>
      </c>
      <c r="B296" s="123">
        <f>YEAR(Table6[[#This Row],[Date]])+IF(MONTH(Table6[[#This Row],[Date]])&gt;=4,1,0)</f>
        <v>2026</v>
      </c>
      <c r="C296" s="121">
        <f>YEAR(Table6[[#This Row],[Date]])</f>
        <v>2025</v>
      </c>
      <c r="D296" s="121" t="s">
        <v>490</v>
      </c>
      <c r="E296" s="135">
        <f>Table6[[#This Row],[Date]]-DAY(Table6[[#This Row],[Date]])+1</f>
        <v>45748</v>
      </c>
      <c r="F296" s="134">
        <v>45759</v>
      </c>
      <c r="G296" s="121" t="s">
        <v>132</v>
      </c>
      <c r="H296" s="39" t="str">
        <f>_xlfn.XLOOKUP(Table6[[#This Row],[Affected WTG]],'Basic Data'!$A:$A,'Basic Data'!$B:$B)</f>
        <v>PWEGPL</v>
      </c>
      <c r="I296" s="39" t="str">
        <f>_xlfn.XLOOKUP(Table6[[#This Row],[Affected WTG]],'Basic Data'!$A:$A,'Basic Data'!$C:$C)</f>
        <v>MSEDCL</v>
      </c>
      <c r="J296" s="363">
        <f>IFERROR(VLOOKUP(Table6[[#This Row],[Affected WTG]],'Basic Data'!$A$3:$E$56,5,0),"")</f>
        <v>2.564102564102564E-2</v>
      </c>
      <c r="K296" s="121">
        <v>5205</v>
      </c>
      <c r="L296" s="39" t="str">
        <f>IFERROR(VLOOKUP(Table6[[#This Row],[Error Code]],'Basic Data'!$T:$U,2,0),"")</f>
        <v>Magnetothermic Of The Stator Protection Failure Or Door Open</v>
      </c>
      <c r="M296" s="364" t="s">
        <v>462</v>
      </c>
      <c r="O296" s="365">
        <v>0.4236111111111111</v>
      </c>
      <c r="P296" s="365">
        <v>0.44097222222222221</v>
      </c>
      <c r="Q296" s="365">
        <v>0.5180555555555556</v>
      </c>
      <c r="R296" s="366">
        <f>IF(Table6[[#This Row],[Work Start TimeStamp]]="","",(Table6[[#This Row],[Work Start TimeStamp]]-Table6[[#This Row],[Fault Start TimeStamp]])*24)</f>
        <v>0.41666666666666652</v>
      </c>
      <c r="S296" s="367">
        <f>(Table6[[#This Row],[Fault Clearance time]]-Table6[[#This Row],[Work Start TimeStamp]])*24</f>
        <v>1.8500000000000014</v>
      </c>
      <c r="T296" s="368">
        <f>(Table6[[#This Row],[Fault Clearance time]]-Table6[[#This Row],[Fault Start TimeStamp]])*24</f>
        <v>2.2666666666666679</v>
      </c>
      <c r="U296" s="364" t="s">
        <v>545</v>
      </c>
      <c r="V296" s="369" t="s">
        <v>463</v>
      </c>
      <c r="W296" s="354">
        <f>Table6[[#This Row],[Breakdown Time]]*(1/39)</f>
        <v>5.8119658119658149E-2</v>
      </c>
      <c r="X296" s="352" t="s">
        <v>465</v>
      </c>
      <c r="Y296" s="370" t="s">
        <v>133</v>
      </c>
      <c r="Z296" s="121">
        <v>12949</v>
      </c>
      <c r="AA296" s="123">
        <v>1222.9611111111117</v>
      </c>
      <c r="AB296" s="121" t="s">
        <v>478</v>
      </c>
    </row>
    <row r="297" spans="1:28">
      <c r="A297" s="121">
        <f t="shared" si="4"/>
        <v>296</v>
      </c>
      <c r="B297" s="123">
        <f>YEAR(Table6[[#This Row],[Date]])+IF(MONTH(Table6[[#This Row],[Date]])&gt;=4,1,0)</f>
        <v>2026</v>
      </c>
      <c r="C297" s="121">
        <f>YEAR(Table6[[#This Row],[Date]])</f>
        <v>2025</v>
      </c>
      <c r="D297" s="121" t="s">
        <v>490</v>
      </c>
      <c r="E297" s="135">
        <f>Table6[[#This Row],[Date]]-DAY(Table6[[#This Row],[Date]])+1</f>
        <v>45748</v>
      </c>
      <c r="F297" s="134">
        <v>45759</v>
      </c>
      <c r="G297" s="121" t="s">
        <v>137</v>
      </c>
      <c r="H297" s="39" t="str">
        <f>_xlfn.XLOOKUP(Table6[[#This Row],[Affected WTG]],'Basic Data'!$A:$A,'Basic Data'!$B:$B)</f>
        <v>PWEGPL</v>
      </c>
      <c r="I297" s="39" t="str">
        <f>_xlfn.XLOOKUP(Table6[[#This Row],[Affected WTG]],'Basic Data'!$A:$A,'Basic Data'!$C:$C)</f>
        <v>MSEDCL</v>
      </c>
      <c r="J297" s="363">
        <f>IFERROR(VLOOKUP(Table6[[#This Row],[Affected WTG]],'Basic Data'!$A$3:$E$56,5,0),"")</f>
        <v>2.564102564102564E-2</v>
      </c>
      <c r="K297" s="121">
        <v>205</v>
      </c>
      <c r="L297" s="39" t="str">
        <f>IFERROR(VLOOKUP(Table6[[#This Row],[Error Code]],'Basic Data'!$T:$U,2,0),"")</f>
        <v>Low Level Hydraulic Group Refrigeration Oil</v>
      </c>
      <c r="M297" s="364" t="s">
        <v>462</v>
      </c>
      <c r="O297" s="365">
        <v>0.3888888888888889</v>
      </c>
      <c r="P297" s="365">
        <v>0.41805555555555557</v>
      </c>
      <c r="Q297" s="365">
        <v>0.46875</v>
      </c>
      <c r="R297" s="366">
        <f>IF(Table6[[#This Row],[Work Start TimeStamp]]="","",(Table6[[#This Row],[Work Start TimeStamp]]-Table6[[#This Row],[Fault Start TimeStamp]])*24)</f>
        <v>0.70000000000000018</v>
      </c>
      <c r="S297" s="367">
        <f>(Table6[[#This Row],[Fault Clearance time]]-Table6[[#This Row],[Work Start TimeStamp]])*24</f>
        <v>1.2166666666666663</v>
      </c>
      <c r="T297" s="368">
        <f>(Table6[[#This Row],[Fault Clearance time]]-Table6[[#This Row],[Fault Start TimeStamp]])*24</f>
        <v>1.9166666666666665</v>
      </c>
      <c r="U297" s="364" t="s">
        <v>546</v>
      </c>
      <c r="V297" s="369" t="s">
        <v>463</v>
      </c>
      <c r="W297" s="354">
        <f>Table6[[#This Row],[Breakdown Time]]*(1/39)</f>
        <v>4.9145299145299137E-2</v>
      </c>
      <c r="X297" s="352" t="s">
        <v>465</v>
      </c>
      <c r="Y297" s="370" t="s">
        <v>136</v>
      </c>
      <c r="Z297" s="121">
        <v>12639</v>
      </c>
      <c r="AA297" s="123">
        <v>1009.3645833333333</v>
      </c>
      <c r="AB297" s="121" t="s">
        <v>478</v>
      </c>
    </row>
    <row r="298" spans="1:28">
      <c r="A298" s="121">
        <f t="shared" si="4"/>
        <v>297</v>
      </c>
      <c r="B298" s="123">
        <f>YEAR(Table6[[#This Row],[Date]])+IF(MONTH(Table6[[#This Row],[Date]])&gt;=4,1,0)</f>
        <v>2026</v>
      </c>
      <c r="C298" s="121">
        <f>YEAR(Table6[[#This Row],[Date]])</f>
        <v>2025</v>
      </c>
      <c r="D298" s="121" t="s">
        <v>490</v>
      </c>
      <c r="E298" s="135">
        <f>Table6[[#This Row],[Date]]-DAY(Table6[[#This Row],[Date]])+1</f>
        <v>45748</v>
      </c>
      <c r="F298" s="134">
        <v>45759</v>
      </c>
      <c r="G298" s="121" t="s">
        <v>146</v>
      </c>
      <c r="H298" s="39" t="str">
        <f>_xlfn.XLOOKUP(Table6[[#This Row],[Affected WTG]],'Basic Data'!$A:$A,'Basic Data'!$B:$B)</f>
        <v>PWEGPL</v>
      </c>
      <c r="I298" s="39" t="str">
        <f>_xlfn.XLOOKUP(Table6[[#This Row],[Affected WTG]],'Basic Data'!$A:$A,'Basic Data'!$C:$C)</f>
        <v>MSEDCL</v>
      </c>
      <c r="J298" s="363">
        <f>IFERROR(VLOOKUP(Table6[[#This Row],[Affected WTG]],'Basic Data'!$A$3:$E$56,5,0),"")</f>
        <v>2.564102564102564E-2</v>
      </c>
      <c r="K298" s="121">
        <v>907</v>
      </c>
      <c r="L298" s="39" t="str">
        <f>IFERROR(VLOOKUP(Table6[[#This Row],[Error Code]],'Basic Data'!$T:$U,2,0),"")</f>
        <v>Emergency Series HUB Trigger</v>
      </c>
      <c r="M298" s="364" t="s">
        <v>462</v>
      </c>
      <c r="O298" s="365">
        <v>0.59027777777777779</v>
      </c>
      <c r="P298" s="365">
        <v>0.62638888888888888</v>
      </c>
      <c r="Q298" s="365">
        <v>0.62847222222222221</v>
      </c>
      <c r="R298" s="366">
        <f>IF(Table6[[#This Row],[Work Start TimeStamp]]="","",(Table6[[#This Row],[Work Start TimeStamp]]-Table6[[#This Row],[Fault Start TimeStamp]])*24)</f>
        <v>0.86666666666666625</v>
      </c>
      <c r="S298" s="367">
        <f>(Table6[[#This Row],[Fault Clearance time]]-Table6[[#This Row],[Work Start TimeStamp]])*24</f>
        <v>4.9999999999999822E-2</v>
      </c>
      <c r="T298" s="368">
        <f>(Table6[[#This Row],[Fault Clearance time]]-Table6[[#This Row],[Fault Start TimeStamp]])*24</f>
        <v>0.91666666666666607</v>
      </c>
      <c r="U298" s="364" t="s">
        <v>493</v>
      </c>
      <c r="V298" s="369" t="s">
        <v>463</v>
      </c>
      <c r="W298" s="354">
        <f>Table6[[#This Row],[Breakdown Time]]*(1/39)</f>
        <v>2.3504273504273487E-2</v>
      </c>
      <c r="X298" s="352" t="s">
        <v>465</v>
      </c>
      <c r="Y298" s="370" t="s">
        <v>147</v>
      </c>
      <c r="Z298" s="121">
        <v>10962</v>
      </c>
      <c r="AA298" s="123">
        <v>418.68749999999972</v>
      </c>
      <c r="AB298" s="121" t="s">
        <v>478</v>
      </c>
    </row>
    <row r="299" spans="1:28">
      <c r="A299" s="121">
        <f t="shared" si="4"/>
        <v>298</v>
      </c>
      <c r="B299" s="123">
        <f>YEAR(Table6[[#This Row],[Date]])+IF(MONTH(Table6[[#This Row],[Date]])&gt;=4,1,0)</f>
        <v>2026</v>
      </c>
      <c r="C299" s="121">
        <f>YEAR(Table6[[#This Row],[Date]])</f>
        <v>2025</v>
      </c>
      <c r="D299" s="121" t="s">
        <v>490</v>
      </c>
      <c r="E299" s="135">
        <f>Table6[[#This Row],[Date]]-DAY(Table6[[#This Row],[Date]])+1</f>
        <v>45748</v>
      </c>
      <c r="F299" s="134">
        <v>45759</v>
      </c>
      <c r="G299" s="121" t="s">
        <v>152</v>
      </c>
      <c r="H299" s="39" t="str">
        <f>_xlfn.XLOOKUP(Table6[[#This Row],[Affected WTG]],'Basic Data'!$A:$A,'Basic Data'!$B:$B)</f>
        <v>PWEGPL</v>
      </c>
      <c r="I299" s="39" t="str">
        <f>_xlfn.XLOOKUP(Table6[[#This Row],[Affected WTG]],'Basic Data'!$A:$A,'Basic Data'!$C:$C)</f>
        <v>MSEDCL</v>
      </c>
      <c r="J299" s="363">
        <f>IFERROR(VLOOKUP(Table6[[#This Row],[Affected WTG]],'Basic Data'!$A$3:$E$56,5,0),"")</f>
        <v>2.564102564102564E-2</v>
      </c>
      <c r="K299" s="121">
        <v>5201</v>
      </c>
      <c r="L299" s="39" t="str">
        <f>IFERROR(VLOOKUP(Table6[[#This Row],[Error Code]],'Basic Data'!$T:$U,2,0),"")</f>
        <v>Magnetothermic Trigger Of The Stator Protection</v>
      </c>
      <c r="M299" s="364" t="s">
        <v>462</v>
      </c>
      <c r="O299" s="365">
        <v>0.61458333333333337</v>
      </c>
      <c r="P299" s="365">
        <v>0.65138888888888891</v>
      </c>
      <c r="Q299" s="365">
        <v>0.65277777777777779</v>
      </c>
      <c r="R299" s="366">
        <f>IF(Table6[[#This Row],[Work Start TimeStamp]]="","",(Table6[[#This Row],[Work Start TimeStamp]]-Table6[[#This Row],[Fault Start TimeStamp]])*24)</f>
        <v>0.88333333333333286</v>
      </c>
      <c r="S299" s="367">
        <f>(Table6[[#This Row],[Fault Clearance time]]-Table6[[#This Row],[Work Start TimeStamp]])*24</f>
        <v>3.3333333333333215E-2</v>
      </c>
      <c r="T299" s="368">
        <f>(Table6[[#This Row],[Fault Clearance time]]-Table6[[#This Row],[Fault Start TimeStamp]])*24</f>
        <v>0.91666666666666607</v>
      </c>
      <c r="U299" s="364" t="s">
        <v>491</v>
      </c>
      <c r="V299" s="369" t="s">
        <v>463</v>
      </c>
      <c r="W299" s="354">
        <f>Table6[[#This Row],[Breakdown Time]]*(1/39)</f>
        <v>2.3504273504273487E-2</v>
      </c>
      <c r="X299" s="352" t="s">
        <v>465</v>
      </c>
      <c r="Y299" s="370" t="s">
        <v>153</v>
      </c>
      <c r="Z299" s="121">
        <v>10928</v>
      </c>
      <c r="AA299" s="123">
        <v>417.38888888888863</v>
      </c>
      <c r="AB299" s="121" t="s">
        <v>478</v>
      </c>
    </row>
    <row r="300" spans="1:28">
      <c r="A300" s="121">
        <f t="shared" si="4"/>
        <v>299</v>
      </c>
      <c r="B300" s="123">
        <f>YEAR(Table6[[#This Row],[Date]])+IF(MONTH(Table6[[#This Row],[Date]])&gt;=4,1,0)</f>
        <v>2026</v>
      </c>
      <c r="C300" s="121">
        <f>YEAR(Table6[[#This Row],[Date]])</f>
        <v>2025</v>
      </c>
      <c r="D300" s="121" t="s">
        <v>490</v>
      </c>
      <c r="E300" s="135">
        <f>Table6[[#This Row],[Date]]-DAY(Table6[[#This Row],[Date]])+1</f>
        <v>45748</v>
      </c>
      <c r="F300" s="134">
        <v>45760</v>
      </c>
      <c r="G300" s="121" t="s">
        <v>144</v>
      </c>
      <c r="H300" s="39" t="str">
        <f>_xlfn.XLOOKUP(Table6[[#This Row],[Affected WTG]],'Basic Data'!$A:$A,'Basic Data'!$B:$B)</f>
        <v>PWEGPL</v>
      </c>
      <c r="I300" s="39" t="str">
        <f>_xlfn.XLOOKUP(Table6[[#This Row],[Affected WTG]],'Basic Data'!$A:$A,'Basic Data'!$C:$C)</f>
        <v>MSEDCL</v>
      </c>
      <c r="J300" s="363">
        <f>IFERROR(VLOOKUP(Table6[[#This Row],[Affected WTG]],'Basic Data'!$A$3:$E$56,5,0),"")</f>
        <v>2.564102564102564E-2</v>
      </c>
      <c r="K300" s="121" t="s">
        <v>492</v>
      </c>
      <c r="L300" s="39" t="str">
        <f>IFERROR(VLOOKUP(Table6[[#This Row],[Error Code]],'Basic Data'!$T:$U,2,0),"")</f>
        <v>Manual Stop - Safety Related</v>
      </c>
      <c r="M300" s="364" t="s">
        <v>481</v>
      </c>
      <c r="O300" s="365">
        <v>0</v>
      </c>
      <c r="P300" s="365">
        <v>0.99930555555555556</v>
      </c>
      <c r="Q300" s="365">
        <v>0.99930555555555556</v>
      </c>
      <c r="R300" s="366">
        <f>IF(Table6[[#This Row],[Work Start TimeStamp]]="","",(Table6[[#This Row],[Work Start TimeStamp]]-Table6[[#This Row],[Fault Start TimeStamp]])*24)</f>
        <v>23.983333333333334</v>
      </c>
      <c r="S300" s="367">
        <f>(Table6[[#This Row],[Fault Clearance time]]-Table6[[#This Row],[Work Start TimeStamp]])*24</f>
        <v>0</v>
      </c>
      <c r="T300" s="368">
        <f>(Table6[[#This Row],[Fault Clearance time]]-Table6[[#This Row],[Fault Start TimeStamp]])*24</f>
        <v>23.983333333333334</v>
      </c>
      <c r="U300" s="364" t="s">
        <v>498</v>
      </c>
      <c r="V300" s="369" t="s">
        <v>473</v>
      </c>
      <c r="W300" s="354">
        <f>Table6[[#This Row],[Breakdown Time]]*(1/39)</f>
        <v>0.61495726495726499</v>
      </c>
      <c r="X300" s="352" t="s">
        <v>468</v>
      </c>
      <c r="Y300" s="370" t="s">
        <v>141</v>
      </c>
      <c r="Z300" s="121">
        <v>8264</v>
      </c>
      <c r="AA300" s="123">
        <v>8258.2611111111109</v>
      </c>
      <c r="AB300" s="121" t="s">
        <v>478</v>
      </c>
    </row>
    <row r="301" spans="1:28">
      <c r="A301" s="121">
        <f t="shared" si="4"/>
        <v>300</v>
      </c>
      <c r="B301" s="123">
        <f>YEAR(Table6[[#This Row],[Date]])+IF(MONTH(Table6[[#This Row],[Date]])&gt;=4,1,0)</f>
        <v>2026</v>
      </c>
      <c r="C301" s="121">
        <f>YEAR(Table6[[#This Row],[Date]])</f>
        <v>2025</v>
      </c>
      <c r="D301" s="121" t="s">
        <v>490</v>
      </c>
      <c r="E301" s="135">
        <f>Table6[[#This Row],[Date]]-DAY(Table6[[#This Row],[Date]])+1</f>
        <v>45748</v>
      </c>
      <c r="F301" s="134">
        <v>45760</v>
      </c>
      <c r="G301" s="121" t="s">
        <v>142</v>
      </c>
      <c r="H301" s="39" t="str">
        <f>_xlfn.XLOOKUP(Table6[[#This Row],[Affected WTG]],'Basic Data'!$A:$A,'Basic Data'!$B:$B)</f>
        <v>PWEGPL</v>
      </c>
      <c r="I301" s="39" t="str">
        <f>_xlfn.XLOOKUP(Table6[[#This Row],[Affected WTG]],'Basic Data'!$A:$A,'Basic Data'!$C:$C)</f>
        <v>MSEDCL</v>
      </c>
      <c r="J301" s="363">
        <f>IFERROR(VLOOKUP(Table6[[#This Row],[Affected WTG]],'Basic Data'!$A$3:$E$56,5,0),"")</f>
        <v>2.564102564102564E-2</v>
      </c>
      <c r="K301" s="121" t="s">
        <v>492</v>
      </c>
      <c r="L301" s="39" t="str">
        <f>IFERROR(VLOOKUP(Table6[[#This Row],[Error Code]],'Basic Data'!$T:$U,2,0),"")</f>
        <v>Manual Stop - Safety Related</v>
      </c>
      <c r="M301" s="364" t="s">
        <v>481</v>
      </c>
      <c r="O301" s="365">
        <v>0</v>
      </c>
      <c r="P301" s="365">
        <v>0.99930555555555556</v>
      </c>
      <c r="Q301" s="365">
        <v>0.99930555555555556</v>
      </c>
      <c r="R301" s="366">
        <f>IF(Table6[[#This Row],[Work Start TimeStamp]]="","",(Table6[[#This Row],[Work Start TimeStamp]]-Table6[[#This Row],[Fault Start TimeStamp]])*24)</f>
        <v>23.983333333333334</v>
      </c>
      <c r="S301" s="367">
        <f>(Table6[[#This Row],[Fault Clearance time]]-Table6[[#This Row],[Work Start TimeStamp]])*24</f>
        <v>0</v>
      </c>
      <c r="T301" s="368">
        <f>(Table6[[#This Row],[Fault Clearance time]]-Table6[[#This Row],[Fault Start TimeStamp]])*24</f>
        <v>23.983333333333334</v>
      </c>
      <c r="U301" s="364" t="s">
        <v>498</v>
      </c>
      <c r="V301" s="369" t="s">
        <v>473</v>
      </c>
      <c r="W301" s="354">
        <f>Table6[[#This Row],[Breakdown Time]]*(1/39)</f>
        <v>0.61495726495726499</v>
      </c>
      <c r="X301" s="352" t="s">
        <v>468</v>
      </c>
      <c r="Y301" s="370" t="s">
        <v>141</v>
      </c>
      <c r="Z301" s="121">
        <v>8264</v>
      </c>
      <c r="AA301" s="123">
        <v>8258.2611111111109</v>
      </c>
      <c r="AB301" s="121" t="s">
        <v>478</v>
      </c>
    </row>
    <row r="302" spans="1:28">
      <c r="A302" s="121">
        <f t="shared" si="4"/>
        <v>301</v>
      </c>
      <c r="B302" s="123">
        <f>YEAR(Table6[[#This Row],[Date]])+IF(MONTH(Table6[[#This Row],[Date]])&gt;=4,1,0)</f>
        <v>2026</v>
      </c>
      <c r="C302" s="121">
        <f>YEAR(Table6[[#This Row],[Date]])</f>
        <v>2025</v>
      </c>
      <c r="D302" s="121" t="s">
        <v>490</v>
      </c>
      <c r="E302" s="135">
        <f>Table6[[#This Row],[Date]]-DAY(Table6[[#This Row],[Date]])+1</f>
        <v>45748</v>
      </c>
      <c r="F302" s="134">
        <v>45760</v>
      </c>
      <c r="G302" s="121" t="s">
        <v>115</v>
      </c>
      <c r="H302" s="39" t="str">
        <f>_xlfn.XLOOKUP(Table6[[#This Row],[Affected WTG]],'Basic Data'!$A:$A,'Basic Data'!$B:$B)</f>
        <v>PWEGPL</v>
      </c>
      <c r="I302" s="39" t="str">
        <f>_xlfn.XLOOKUP(Table6[[#This Row],[Affected WTG]],'Basic Data'!$A:$A,'Basic Data'!$C:$C)</f>
        <v>MSEDCL</v>
      </c>
      <c r="J302" s="363">
        <f>IFERROR(VLOOKUP(Table6[[#This Row],[Affected WTG]],'Basic Data'!$A$3:$E$56,5,0),"")</f>
        <v>2.564102564102564E-2</v>
      </c>
      <c r="K302" s="121">
        <v>5210</v>
      </c>
      <c r="L302" s="39" t="str">
        <f>IFERROR(VLOOKUP(Table6[[#This Row],[Error Code]],'Basic Data'!$T:$U,2,0),"")</f>
        <v>Failure Of The Contactor's Rotor Power</v>
      </c>
      <c r="M302" s="364" t="s">
        <v>462</v>
      </c>
      <c r="O302" s="365">
        <v>0.54236111111111107</v>
      </c>
      <c r="P302" s="365">
        <v>0.58680555555555558</v>
      </c>
      <c r="Q302" s="365">
        <v>0.58819444444444446</v>
      </c>
      <c r="R302" s="366">
        <f>IF(Table6[[#This Row],[Work Start TimeStamp]]="","",(Table6[[#This Row],[Work Start TimeStamp]]-Table6[[#This Row],[Fault Start TimeStamp]])*24)</f>
        <v>1.0666666666666682</v>
      </c>
      <c r="S302" s="367">
        <f>(Table6[[#This Row],[Fault Clearance time]]-Table6[[#This Row],[Work Start TimeStamp]])*24</f>
        <v>3.3333333333333215E-2</v>
      </c>
      <c r="T302" s="368">
        <f>(Table6[[#This Row],[Fault Clearance time]]-Table6[[#This Row],[Fault Start TimeStamp]])*24</f>
        <v>1.1000000000000014</v>
      </c>
      <c r="U302" s="364" t="s">
        <v>491</v>
      </c>
      <c r="V302" s="369" t="s">
        <v>463</v>
      </c>
      <c r="W302" s="354">
        <f>Table6[[#This Row],[Breakdown Time]]*(1/39)</f>
        <v>2.820512820512824E-2</v>
      </c>
      <c r="X302" s="352" t="s">
        <v>465</v>
      </c>
      <c r="Y302" s="370" t="s">
        <v>121</v>
      </c>
      <c r="Z302" s="121">
        <v>9768</v>
      </c>
      <c r="AA302" s="123">
        <v>447.70000000000056</v>
      </c>
      <c r="AB302" s="121" t="s">
        <v>478</v>
      </c>
    </row>
    <row r="303" spans="1:28">
      <c r="A303" s="121">
        <f t="shared" si="4"/>
        <v>302</v>
      </c>
      <c r="B303" s="123">
        <f>YEAR(Table6[[#This Row],[Date]])+IF(MONTH(Table6[[#This Row],[Date]])&gt;=4,1,0)</f>
        <v>2026</v>
      </c>
      <c r="C303" s="121">
        <f>YEAR(Table6[[#This Row],[Date]])</f>
        <v>2025</v>
      </c>
      <c r="D303" s="121" t="s">
        <v>490</v>
      </c>
      <c r="E303" s="135">
        <f>Table6[[#This Row],[Date]]-DAY(Table6[[#This Row],[Date]])+1</f>
        <v>45748</v>
      </c>
      <c r="F303" s="134">
        <v>45760</v>
      </c>
      <c r="G303" s="121" t="s">
        <v>119</v>
      </c>
      <c r="H303" s="39" t="str">
        <f>_xlfn.XLOOKUP(Table6[[#This Row],[Affected WTG]],'Basic Data'!$A:$A,'Basic Data'!$B:$B)</f>
        <v>PWEGPL</v>
      </c>
      <c r="I303" s="39" t="str">
        <f>_xlfn.XLOOKUP(Table6[[#This Row],[Affected WTG]],'Basic Data'!$A:$A,'Basic Data'!$C:$C)</f>
        <v>MSEDCL</v>
      </c>
      <c r="J303" s="363">
        <f>IFERROR(VLOOKUP(Table6[[#This Row],[Affected WTG]],'Basic Data'!$A$3:$E$56,5,0),"")</f>
        <v>2.564102564102564E-2</v>
      </c>
      <c r="K303" s="121">
        <v>5201</v>
      </c>
      <c r="L303" s="39" t="str">
        <f>IFERROR(VLOOKUP(Table6[[#This Row],[Error Code]],'Basic Data'!$T:$U,2,0),"")</f>
        <v>Magnetothermic Trigger Of The Stator Protection</v>
      </c>
      <c r="M303" s="364" t="s">
        <v>462</v>
      </c>
      <c r="O303" s="365">
        <v>0.62847222222222221</v>
      </c>
      <c r="P303" s="365">
        <v>0.64583333333333337</v>
      </c>
      <c r="Q303" s="365">
        <v>0.64722222222222225</v>
      </c>
      <c r="R303" s="366">
        <f>IF(Table6[[#This Row],[Work Start TimeStamp]]="","",(Table6[[#This Row],[Work Start TimeStamp]]-Table6[[#This Row],[Fault Start TimeStamp]])*24)</f>
        <v>0.41666666666666785</v>
      </c>
      <c r="S303" s="367">
        <f>(Table6[[#This Row],[Fault Clearance time]]-Table6[[#This Row],[Work Start TimeStamp]])*24</f>
        <v>3.3333333333333215E-2</v>
      </c>
      <c r="T303" s="368">
        <f>(Table6[[#This Row],[Fault Clearance time]]-Table6[[#This Row],[Fault Start TimeStamp]])*24</f>
        <v>0.45000000000000107</v>
      </c>
      <c r="U303" s="364" t="s">
        <v>491</v>
      </c>
      <c r="V303" s="369" t="s">
        <v>463</v>
      </c>
      <c r="W303" s="354">
        <f>Table6[[#This Row],[Breakdown Time]]*(1/39)</f>
        <v>1.1538461538461565E-2</v>
      </c>
      <c r="X303" s="352" t="s">
        <v>465</v>
      </c>
      <c r="Y303" s="370" t="s">
        <v>136</v>
      </c>
      <c r="Z303" s="121">
        <v>8268</v>
      </c>
      <c r="AA303" s="123">
        <v>155.02500000000038</v>
      </c>
      <c r="AB303" s="121" t="s">
        <v>478</v>
      </c>
    </row>
    <row r="304" spans="1:28">
      <c r="A304" s="121">
        <f t="shared" si="4"/>
        <v>303</v>
      </c>
      <c r="B304" s="123">
        <f>YEAR(Table6[[#This Row],[Date]])+IF(MONTH(Table6[[#This Row],[Date]])&gt;=4,1,0)</f>
        <v>2026</v>
      </c>
      <c r="C304" s="121">
        <f>YEAR(Table6[[#This Row],[Date]])</f>
        <v>2025</v>
      </c>
      <c r="D304" s="121" t="s">
        <v>490</v>
      </c>
      <c r="E304" s="135">
        <f>Table6[[#This Row],[Date]]-DAY(Table6[[#This Row],[Date]])+1</f>
        <v>45748</v>
      </c>
      <c r="F304" s="134">
        <v>45760</v>
      </c>
      <c r="G304" s="121" t="s">
        <v>135</v>
      </c>
      <c r="H304" s="39" t="str">
        <f>_xlfn.XLOOKUP(Table6[[#This Row],[Affected WTG]],'Basic Data'!$A:$A,'Basic Data'!$B:$B)</f>
        <v>PWEGPL</v>
      </c>
      <c r="I304" s="39" t="str">
        <f>_xlfn.XLOOKUP(Table6[[#This Row],[Affected WTG]],'Basic Data'!$A:$A,'Basic Data'!$C:$C)</f>
        <v>MSEDCL</v>
      </c>
      <c r="J304" s="363">
        <f>IFERROR(VLOOKUP(Table6[[#This Row],[Affected WTG]],'Basic Data'!$A$3:$E$56,5,0),"")</f>
        <v>2.564102564102564E-2</v>
      </c>
      <c r="K304" s="121">
        <v>5201</v>
      </c>
      <c r="L304" s="39" t="str">
        <f>IFERROR(VLOOKUP(Table6[[#This Row],[Error Code]],'Basic Data'!$T:$U,2,0),"")</f>
        <v>Magnetothermic Trigger Of The Stator Protection</v>
      </c>
      <c r="M304" s="364" t="s">
        <v>462</v>
      </c>
      <c r="O304" s="365">
        <v>0.62847222222222221</v>
      </c>
      <c r="P304" s="365">
        <v>0.65625</v>
      </c>
      <c r="Q304" s="365">
        <v>0.65763888888888888</v>
      </c>
      <c r="R304" s="366">
        <f>IF(Table6[[#This Row],[Work Start TimeStamp]]="","",(Table6[[#This Row],[Work Start TimeStamp]]-Table6[[#This Row],[Fault Start TimeStamp]])*24)</f>
        <v>0.66666666666666696</v>
      </c>
      <c r="S304" s="367">
        <f>(Table6[[#This Row],[Fault Clearance time]]-Table6[[#This Row],[Work Start TimeStamp]])*24</f>
        <v>3.3333333333333215E-2</v>
      </c>
      <c r="T304" s="368">
        <f>(Table6[[#This Row],[Fault Clearance time]]-Table6[[#This Row],[Fault Start TimeStamp]])*24</f>
        <v>0.70000000000000018</v>
      </c>
      <c r="U304" s="364" t="s">
        <v>491</v>
      </c>
      <c r="V304" s="369" t="s">
        <v>463</v>
      </c>
      <c r="W304" s="354">
        <f>Table6[[#This Row],[Breakdown Time]]*(1/39)</f>
        <v>1.7948717948717954E-2</v>
      </c>
      <c r="X304" s="352" t="s">
        <v>465</v>
      </c>
      <c r="Y304" s="370" t="s">
        <v>136</v>
      </c>
      <c r="Z304" s="121">
        <v>8268</v>
      </c>
      <c r="AA304" s="123">
        <v>241.15000000000006</v>
      </c>
      <c r="AB304" s="121" t="s">
        <v>478</v>
      </c>
    </row>
    <row r="305" spans="1:28">
      <c r="A305" s="121">
        <f t="shared" si="4"/>
        <v>304</v>
      </c>
      <c r="B305" s="123">
        <f>YEAR(Table6[[#This Row],[Date]])+IF(MONTH(Table6[[#This Row],[Date]])&gt;=4,1,0)</f>
        <v>2026</v>
      </c>
      <c r="C305" s="121">
        <f>YEAR(Table6[[#This Row],[Date]])</f>
        <v>2025</v>
      </c>
      <c r="D305" s="121" t="s">
        <v>490</v>
      </c>
      <c r="E305" s="135">
        <f>Table6[[#This Row],[Date]]-DAY(Table6[[#This Row],[Date]])+1</f>
        <v>45748</v>
      </c>
      <c r="F305" s="134">
        <v>45760</v>
      </c>
      <c r="G305" s="121" t="s">
        <v>139</v>
      </c>
      <c r="H305" s="39" t="str">
        <f>_xlfn.XLOOKUP(Table6[[#This Row],[Affected WTG]],'Basic Data'!$A:$A,'Basic Data'!$B:$B)</f>
        <v>PWEGPL</v>
      </c>
      <c r="I305" s="39" t="str">
        <f>_xlfn.XLOOKUP(Table6[[#This Row],[Affected WTG]],'Basic Data'!$A:$A,'Basic Data'!$C:$C)</f>
        <v>MSEDCL</v>
      </c>
      <c r="J305" s="363">
        <f>IFERROR(VLOOKUP(Table6[[#This Row],[Affected WTG]],'Basic Data'!$A$3:$E$56,5,0),"")</f>
        <v>2.564102564102564E-2</v>
      </c>
      <c r="K305" s="121" t="s">
        <v>487</v>
      </c>
      <c r="L305" s="39" t="str">
        <f>IFERROR(VLOOKUP(Table6[[#This Row],[Error Code]],'Basic Data'!$T:$U,2,0),"")</f>
        <v>General Work Stoppage</v>
      </c>
      <c r="M305" s="364" t="s">
        <v>479</v>
      </c>
      <c r="O305" s="365">
        <v>0.49722222222222223</v>
      </c>
      <c r="P305" s="365">
        <v>0.49722222222222223</v>
      </c>
      <c r="Q305" s="365">
        <v>0.56736111111111109</v>
      </c>
      <c r="R305" s="366">
        <f>IF(Table6[[#This Row],[Work Start TimeStamp]]="","",(Table6[[#This Row],[Work Start TimeStamp]]-Table6[[#This Row],[Fault Start TimeStamp]])*24)</f>
        <v>0</v>
      </c>
      <c r="S305" s="367">
        <f>(Table6[[#This Row],[Fault Clearance time]]-Table6[[#This Row],[Work Start TimeStamp]])*24</f>
        <v>1.6833333333333327</v>
      </c>
      <c r="T305" s="368">
        <f>(Table6[[#This Row],[Fault Clearance time]]-Table6[[#This Row],[Fault Start TimeStamp]])*24</f>
        <v>1.6833333333333327</v>
      </c>
      <c r="U305" s="364" t="s">
        <v>543</v>
      </c>
      <c r="V305" s="369" t="s">
        <v>463</v>
      </c>
      <c r="W305" s="354">
        <f>Table6[[#This Row],[Breakdown Time]]*(1/39)</f>
        <v>4.3162393162393141E-2</v>
      </c>
      <c r="X305" s="352" t="s">
        <v>464</v>
      </c>
      <c r="Y305" s="370" t="s">
        <v>145</v>
      </c>
      <c r="Z305" s="121">
        <v>9627</v>
      </c>
      <c r="AA305" s="123">
        <v>675.2270833333331</v>
      </c>
      <c r="AB305" s="121" t="s">
        <v>478</v>
      </c>
    </row>
    <row r="306" spans="1:28">
      <c r="A306" s="121">
        <f t="shared" si="4"/>
        <v>305</v>
      </c>
      <c r="B306" s="123">
        <f>YEAR(Table6[[#This Row],[Date]])+IF(MONTH(Table6[[#This Row],[Date]])&gt;=4,1,0)</f>
        <v>2026</v>
      </c>
      <c r="C306" s="121">
        <f>YEAR(Table6[[#This Row],[Date]])</f>
        <v>2025</v>
      </c>
      <c r="D306" s="121" t="s">
        <v>490</v>
      </c>
      <c r="E306" s="135">
        <f>Table6[[#This Row],[Date]]-DAY(Table6[[#This Row],[Date]])+1</f>
        <v>45748</v>
      </c>
      <c r="F306" s="134">
        <v>45760</v>
      </c>
      <c r="G306" s="121" t="s">
        <v>152</v>
      </c>
      <c r="H306" s="39" t="str">
        <f>_xlfn.XLOOKUP(Table6[[#This Row],[Affected WTG]],'Basic Data'!$A:$A,'Basic Data'!$B:$B)</f>
        <v>PWEGPL</v>
      </c>
      <c r="I306" s="39" t="str">
        <f>_xlfn.XLOOKUP(Table6[[#This Row],[Affected WTG]],'Basic Data'!$A:$A,'Basic Data'!$C:$C)</f>
        <v>MSEDCL</v>
      </c>
      <c r="J306" s="363">
        <f>IFERROR(VLOOKUP(Table6[[#This Row],[Affected WTG]],'Basic Data'!$A$3:$E$56,5,0),"")</f>
        <v>2.564102564102564E-2</v>
      </c>
      <c r="K306" s="121">
        <v>5201</v>
      </c>
      <c r="L306" s="39" t="str">
        <f>IFERROR(VLOOKUP(Table6[[#This Row],[Error Code]],'Basic Data'!$T:$U,2,0),"")</f>
        <v>Magnetothermic Trigger Of The Stator Protection</v>
      </c>
      <c r="M306" s="364" t="s">
        <v>462</v>
      </c>
      <c r="O306" s="365">
        <v>0.44583333333333336</v>
      </c>
      <c r="P306" s="365">
        <v>0.47916666666666669</v>
      </c>
      <c r="Q306" s="365">
        <v>0.48055555555555557</v>
      </c>
      <c r="R306" s="366">
        <f>IF(Table6[[#This Row],[Work Start TimeStamp]]="","",(Table6[[#This Row],[Work Start TimeStamp]]-Table6[[#This Row],[Fault Start TimeStamp]])*24)</f>
        <v>0.79999999999999982</v>
      </c>
      <c r="S306" s="367">
        <f>(Table6[[#This Row],[Fault Clearance time]]-Table6[[#This Row],[Work Start TimeStamp]])*24</f>
        <v>3.3333333333333215E-2</v>
      </c>
      <c r="T306" s="368">
        <f>(Table6[[#This Row],[Fault Clearance time]]-Table6[[#This Row],[Fault Start TimeStamp]])*24</f>
        <v>0.83333333333333304</v>
      </c>
      <c r="U306" s="364" t="s">
        <v>491</v>
      </c>
      <c r="V306" s="369" t="s">
        <v>463</v>
      </c>
      <c r="W306" s="354">
        <f>Table6[[#This Row],[Breakdown Time]]*(1/39)</f>
        <v>2.1367521367521358E-2</v>
      </c>
      <c r="X306" s="352" t="s">
        <v>465</v>
      </c>
      <c r="Y306" s="370" t="s">
        <v>153</v>
      </c>
      <c r="Z306" s="121">
        <v>9687</v>
      </c>
      <c r="AA306" s="123">
        <v>336.35416666666657</v>
      </c>
      <c r="AB306" s="121" t="s">
        <v>478</v>
      </c>
    </row>
    <row r="307" spans="1:28">
      <c r="A307" s="121">
        <f t="shared" si="4"/>
        <v>306</v>
      </c>
      <c r="B307" s="123">
        <f>YEAR(Table6[[#This Row],[Date]])+IF(MONTH(Table6[[#This Row],[Date]])&gt;=4,1,0)</f>
        <v>2026</v>
      </c>
      <c r="C307" s="121">
        <f>YEAR(Table6[[#This Row],[Date]])</f>
        <v>2025</v>
      </c>
      <c r="D307" s="121" t="s">
        <v>490</v>
      </c>
      <c r="E307" s="135">
        <f>Table6[[#This Row],[Date]]-DAY(Table6[[#This Row],[Date]])+1</f>
        <v>45748</v>
      </c>
      <c r="F307" s="134">
        <v>45761</v>
      </c>
      <c r="G307" s="121" t="s">
        <v>144</v>
      </c>
      <c r="H307" s="39" t="str">
        <f>_xlfn.XLOOKUP(Table6[[#This Row],[Affected WTG]],'Basic Data'!$A:$A,'Basic Data'!$B:$B)</f>
        <v>PWEGPL</v>
      </c>
      <c r="I307" s="39" t="str">
        <f>_xlfn.XLOOKUP(Table6[[#This Row],[Affected WTG]],'Basic Data'!$A:$A,'Basic Data'!$C:$C)</f>
        <v>MSEDCL</v>
      </c>
      <c r="J307" s="363">
        <f>IFERROR(VLOOKUP(Table6[[#This Row],[Affected WTG]],'Basic Data'!$A$3:$E$56,5,0),"")</f>
        <v>2.564102564102564E-2</v>
      </c>
      <c r="K307" s="121" t="s">
        <v>492</v>
      </c>
      <c r="L307" s="39" t="str">
        <f>IFERROR(VLOOKUP(Table6[[#This Row],[Error Code]],'Basic Data'!$T:$U,2,0),"")</f>
        <v>Manual Stop - Safety Related</v>
      </c>
      <c r="M307" s="364" t="s">
        <v>481</v>
      </c>
      <c r="O307" s="365">
        <v>0</v>
      </c>
      <c r="P307" s="365">
        <v>0.99930555555555556</v>
      </c>
      <c r="Q307" s="365">
        <v>0.99930555555555556</v>
      </c>
      <c r="R307" s="366">
        <f>IF(Table6[[#This Row],[Work Start TimeStamp]]="","",(Table6[[#This Row],[Work Start TimeStamp]]-Table6[[#This Row],[Fault Start TimeStamp]])*24)</f>
        <v>23.983333333333334</v>
      </c>
      <c r="S307" s="367">
        <f>(Table6[[#This Row],[Fault Clearance time]]-Table6[[#This Row],[Work Start TimeStamp]])*24</f>
        <v>0</v>
      </c>
      <c r="T307" s="368">
        <f>(Table6[[#This Row],[Fault Clearance time]]-Table6[[#This Row],[Fault Start TimeStamp]])*24</f>
        <v>23.983333333333334</v>
      </c>
      <c r="U307" s="364" t="s">
        <v>498</v>
      </c>
      <c r="V307" s="369" t="s">
        <v>473</v>
      </c>
      <c r="W307" s="354">
        <f>Table6[[#This Row],[Breakdown Time]]*(1/39)</f>
        <v>0.61495726495726499</v>
      </c>
      <c r="X307" s="352" t="s">
        <v>468</v>
      </c>
      <c r="Y307" s="370" t="s">
        <v>141</v>
      </c>
      <c r="Z307" s="121">
        <v>14824</v>
      </c>
      <c r="AA307" s="123">
        <v>14813.705555555554</v>
      </c>
      <c r="AB307" s="121" t="s">
        <v>478</v>
      </c>
    </row>
    <row r="308" spans="1:28">
      <c r="A308" s="121">
        <f t="shared" si="4"/>
        <v>307</v>
      </c>
      <c r="B308" s="123">
        <f>YEAR(Table6[[#This Row],[Date]])+IF(MONTH(Table6[[#This Row],[Date]])&gt;=4,1,0)</f>
        <v>2026</v>
      </c>
      <c r="C308" s="121">
        <f>YEAR(Table6[[#This Row],[Date]])</f>
        <v>2025</v>
      </c>
      <c r="D308" s="121" t="s">
        <v>490</v>
      </c>
      <c r="E308" s="135">
        <f>Table6[[#This Row],[Date]]-DAY(Table6[[#This Row],[Date]])+1</f>
        <v>45748</v>
      </c>
      <c r="F308" s="134">
        <v>45761</v>
      </c>
      <c r="G308" s="121" t="s">
        <v>142</v>
      </c>
      <c r="H308" s="39" t="str">
        <f>_xlfn.XLOOKUP(Table6[[#This Row],[Affected WTG]],'Basic Data'!$A:$A,'Basic Data'!$B:$B)</f>
        <v>PWEGPL</v>
      </c>
      <c r="I308" s="39" t="str">
        <f>_xlfn.XLOOKUP(Table6[[#This Row],[Affected WTG]],'Basic Data'!$A:$A,'Basic Data'!$C:$C)</f>
        <v>MSEDCL</v>
      </c>
      <c r="J308" s="363">
        <f>IFERROR(VLOOKUP(Table6[[#This Row],[Affected WTG]],'Basic Data'!$A$3:$E$56,5,0),"")</f>
        <v>2.564102564102564E-2</v>
      </c>
      <c r="K308" s="121" t="s">
        <v>492</v>
      </c>
      <c r="L308" s="39" t="str">
        <f>IFERROR(VLOOKUP(Table6[[#This Row],[Error Code]],'Basic Data'!$T:$U,2,0),"")</f>
        <v>Manual Stop - Safety Related</v>
      </c>
      <c r="M308" s="364" t="s">
        <v>481</v>
      </c>
      <c r="O308" s="365">
        <v>0</v>
      </c>
      <c r="P308" s="365">
        <v>0.99930555555555556</v>
      </c>
      <c r="Q308" s="365">
        <v>0.99930555555555556</v>
      </c>
      <c r="R308" s="366">
        <f>IF(Table6[[#This Row],[Work Start TimeStamp]]="","",(Table6[[#This Row],[Work Start TimeStamp]]-Table6[[#This Row],[Fault Start TimeStamp]])*24)</f>
        <v>23.983333333333334</v>
      </c>
      <c r="S308" s="367">
        <f>(Table6[[#This Row],[Fault Clearance time]]-Table6[[#This Row],[Work Start TimeStamp]])*24</f>
        <v>0</v>
      </c>
      <c r="T308" s="368">
        <f>(Table6[[#This Row],[Fault Clearance time]]-Table6[[#This Row],[Fault Start TimeStamp]])*24</f>
        <v>23.983333333333334</v>
      </c>
      <c r="U308" s="364" t="s">
        <v>498</v>
      </c>
      <c r="V308" s="369" t="s">
        <v>473</v>
      </c>
      <c r="W308" s="354">
        <f>Table6[[#This Row],[Breakdown Time]]*(1/39)</f>
        <v>0.61495726495726499</v>
      </c>
      <c r="X308" s="352" t="s">
        <v>468</v>
      </c>
      <c r="Y308" s="370" t="s">
        <v>141</v>
      </c>
      <c r="Z308" s="121">
        <v>14824</v>
      </c>
      <c r="AA308" s="123">
        <v>14813.705555555554</v>
      </c>
      <c r="AB308" s="121" t="s">
        <v>478</v>
      </c>
    </row>
    <row r="309" spans="1:28">
      <c r="A309" s="121">
        <f t="shared" si="4"/>
        <v>308</v>
      </c>
      <c r="B309" s="123">
        <f>YEAR(Table6[[#This Row],[Date]])+IF(MONTH(Table6[[#This Row],[Date]])&gt;=4,1,0)</f>
        <v>2026</v>
      </c>
      <c r="C309" s="121">
        <f>YEAR(Table6[[#This Row],[Date]])</f>
        <v>2025</v>
      </c>
      <c r="D309" s="121" t="s">
        <v>490</v>
      </c>
      <c r="E309" s="135">
        <f>Table6[[#This Row],[Date]]-DAY(Table6[[#This Row],[Date]])+1</f>
        <v>45748</v>
      </c>
      <c r="F309" s="134">
        <v>45761</v>
      </c>
      <c r="G309" s="121" t="s">
        <v>124</v>
      </c>
      <c r="H309" s="39" t="str">
        <f>_xlfn.XLOOKUP(Table6[[#This Row],[Affected WTG]],'Basic Data'!$A:$A,'Basic Data'!$B:$B)</f>
        <v>PWEGPL</v>
      </c>
      <c r="I309" s="39" t="str">
        <f>_xlfn.XLOOKUP(Table6[[#This Row],[Affected WTG]],'Basic Data'!$A:$A,'Basic Data'!$C:$C)</f>
        <v>MSEDCL</v>
      </c>
      <c r="J309" s="363">
        <f>IFERROR(VLOOKUP(Table6[[#This Row],[Affected WTG]],'Basic Data'!$A$3:$E$56,5,0),"")</f>
        <v>2.564102564102564E-2</v>
      </c>
      <c r="K309" s="121" t="s">
        <v>466</v>
      </c>
      <c r="L309" s="39" t="str">
        <f>IFERROR(VLOOKUP(Table6[[#This Row],[Error Code]],'Basic Data'!$T:$U,2,0),"")</f>
        <v>Manual Stop</v>
      </c>
      <c r="M309" s="364" t="s">
        <v>479</v>
      </c>
      <c r="O309" s="365">
        <v>0.50694444444444442</v>
      </c>
      <c r="P309" s="365">
        <v>0.50694444444444442</v>
      </c>
      <c r="Q309" s="365">
        <v>0.64583333333333337</v>
      </c>
      <c r="R309" s="366">
        <f>IF(Table6[[#This Row],[Work Start TimeStamp]]="","",(Table6[[#This Row],[Work Start TimeStamp]]-Table6[[#This Row],[Fault Start TimeStamp]])*24)</f>
        <v>0</v>
      </c>
      <c r="S309" s="367">
        <f>(Table6[[#This Row],[Fault Clearance time]]-Table6[[#This Row],[Work Start TimeStamp]])*24</f>
        <v>3.3333333333333348</v>
      </c>
      <c r="T309" s="368">
        <f>(Table6[[#This Row],[Fault Clearance time]]-Table6[[#This Row],[Fault Start TimeStamp]])*24</f>
        <v>3.3333333333333348</v>
      </c>
      <c r="U309" s="364" t="s">
        <v>547</v>
      </c>
      <c r="V309" s="369" t="s">
        <v>463</v>
      </c>
      <c r="W309" s="354">
        <f>Table6[[#This Row],[Breakdown Time]]*(1/39)</f>
        <v>8.54700854700855E-2</v>
      </c>
      <c r="X309" s="352" t="s">
        <v>465</v>
      </c>
      <c r="Y309" s="370" t="s">
        <v>125</v>
      </c>
      <c r="Z309" s="121">
        <v>16100</v>
      </c>
      <c r="AA309" s="123">
        <v>2236.1111111111122</v>
      </c>
      <c r="AB309" s="121" t="s">
        <v>478</v>
      </c>
    </row>
    <row r="310" spans="1:28">
      <c r="A310" s="121">
        <f t="shared" si="4"/>
        <v>309</v>
      </c>
      <c r="B310" s="123">
        <f>YEAR(Table6[[#This Row],[Date]])+IF(MONTH(Table6[[#This Row],[Date]])&gt;=4,1,0)</f>
        <v>2026</v>
      </c>
      <c r="C310" s="121">
        <f>YEAR(Table6[[#This Row],[Date]])</f>
        <v>2025</v>
      </c>
      <c r="D310" s="121" t="s">
        <v>490</v>
      </c>
      <c r="E310" s="135">
        <f>Table6[[#This Row],[Date]]-DAY(Table6[[#This Row],[Date]])+1</f>
        <v>45748</v>
      </c>
      <c r="F310" s="134">
        <v>45761</v>
      </c>
      <c r="G310" s="121" t="s">
        <v>125</v>
      </c>
      <c r="H310" s="39" t="str">
        <f>_xlfn.XLOOKUP(Table6[[#This Row],[Affected WTG]],'Basic Data'!$A:$A,'Basic Data'!$B:$B)</f>
        <v>PWEGPL</v>
      </c>
      <c r="I310" s="39" t="str">
        <f>_xlfn.XLOOKUP(Table6[[#This Row],[Affected WTG]],'Basic Data'!$A:$A,'Basic Data'!$C:$C)</f>
        <v>MSEDCL</v>
      </c>
      <c r="J310" s="363">
        <f>IFERROR(VLOOKUP(Table6[[#This Row],[Affected WTG]],'Basic Data'!$A$3:$E$56,5,0),"")</f>
        <v>2.564102564102564E-2</v>
      </c>
      <c r="K310" s="121" t="s">
        <v>466</v>
      </c>
      <c r="L310" s="39" t="str">
        <f>IFERROR(VLOOKUP(Table6[[#This Row],[Error Code]],'Basic Data'!$T:$U,2,0),"")</f>
        <v>Manual Stop</v>
      </c>
      <c r="M310" s="364" t="s">
        <v>479</v>
      </c>
      <c r="O310" s="365">
        <v>0.67708333333333337</v>
      </c>
      <c r="P310" s="365">
        <v>0.67708333333333337</v>
      </c>
      <c r="Q310" s="365">
        <v>0.72222222222222221</v>
      </c>
      <c r="R310" s="366">
        <f>IF(Table6[[#This Row],[Work Start TimeStamp]]="","",(Table6[[#This Row],[Work Start TimeStamp]]-Table6[[#This Row],[Fault Start TimeStamp]])*24)</f>
        <v>0</v>
      </c>
      <c r="S310" s="367">
        <f>(Table6[[#This Row],[Fault Clearance time]]-Table6[[#This Row],[Work Start TimeStamp]])*24</f>
        <v>1.0833333333333321</v>
      </c>
      <c r="T310" s="368">
        <f>(Table6[[#This Row],[Fault Clearance time]]-Table6[[#This Row],[Fault Start TimeStamp]])*24</f>
        <v>1.0833333333333321</v>
      </c>
      <c r="U310" s="364" t="s">
        <v>544</v>
      </c>
      <c r="V310" s="369" t="s">
        <v>463</v>
      </c>
      <c r="W310" s="354">
        <f>Table6[[#This Row],[Breakdown Time]]*(1/39)</f>
        <v>2.7777777777777745E-2</v>
      </c>
      <c r="X310" s="352" t="s">
        <v>465</v>
      </c>
      <c r="Y310" s="370" t="s">
        <v>124</v>
      </c>
      <c r="Z310" s="121">
        <v>16001</v>
      </c>
      <c r="AA310" s="123">
        <v>722.2673611111104</v>
      </c>
      <c r="AB310" s="121" t="s">
        <v>478</v>
      </c>
    </row>
    <row r="311" spans="1:28">
      <c r="A311" s="121">
        <f t="shared" si="4"/>
        <v>310</v>
      </c>
      <c r="B311" s="123">
        <f>YEAR(Table6[[#This Row],[Date]])+IF(MONTH(Table6[[#This Row],[Date]])&gt;=4,1,0)</f>
        <v>2026</v>
      </c>
      <c r="C311" s="121">
        <f>YEAR(Table6[[#This Row],[Date]])</f>
        <v>2025</v>
      </c>
      <c r="D311" s="121" t="s">
        <v>490</v>
      </c>
      <c r="E311" s="135">
        <f>Table6[[#This Row],[Date]]-DAY(Table6[[#This Row],[Date]])+1</f>
        <v>45748</v>
      </c>
      <c r="F311" s="134">
        <v>45761</v>
      </c>
      <c r="G311" s="121" t="s">
        <v>115</v>
      </c>
      <c r="H311" s="39" t="str">
        <f>_xlfn.XLOOKUP(Table6[[#This Row],[Affected WTG]],'Basic Data'!$A:$A,'Basic Data'!$B:$B)</f>
        <v>PWEGPL</v>
      </c>
      <c r="I311" s="39" t="str">
        <f>_xlfn.XLOOKUP(Table6[[#This Row],[Affected WTG]],'Basic Data'!$A:$A,'Basic Data'!$C:$C)</f>
        <v>MSEDCL</v>
      </c>
      <c r="J311" s="363">
        <f>IFERROR(VLOOKUP(Table6[[#This Row],[Affected WTG]],'Basic Data'!$A$3:$E$56,5,0),"")</f>
        <v>2.564102564102564E-2</v>
      </c>
      <c r="K311" s="121">
        <v>5210</v>
      </c>
      <c r="L311" s="39" t="str">
        <f>IFERROR(VLOOKUP(Table6[[#This Row],[Error Code]],'Basic Data'!$T:$U,2,0),"")</f>
        <v>Failure Of The Contactor's Rotor Power</v>
      </c>
      <c r="M311" s="364" t="s">
        <v>462</v>
      </c>
      <c r="O311" s="365">
        <v>0.58958333333333335</v>
      </c>
      <c r="P311" s="365">
        <v>0.61041666666666672</v>
      </c>
      <c r="Q311" s="365">
        <v>0.64583333333333337</v>
      </c>
      <c r="R311" s="366">
        <f>IF(Table6[[#This Row],[Work Start TimeStamp]]="","",(Table6[[#This Row],[Work Start TimeStamp]]-Table6[[#This Row],[Fault Start TimeStamp]])*24)</f>
        <v>0.50000000000000089</v>
      </c>
      <c r="S311" s="367">
        <f>(Table6[[#This Row],[Fault Clearance time]]-Table6[[#This Row],[Work Start TimeStamp]])*24</f>
        <v>0.84999999999999964</v>
      </c>
      <c r="T311" s="368">
        <f>(Table6[[#This Row],[Fault Clearance time]]-Table6[[#This Row],[Fault Start TimeStamp]])*24</f>
        <v>1.3500000000000005</v>
      </c>
      <c r="U311" s="364" t="s">
        <v>548</v>
      </c>
      <c r="V311" s="369" t="s">
        <v>463</v>
      </c>
      <c r="W311" s="354">
        <f>Table6[[#This Row],[Breakdown Time]]*(1/39)</f>
        <v>3.4615384615384631E-2</v>
      </c>
      <c r="X311" s="352" t="s">
        <v>465</v>
      </c>
      <c r="Y311" s="370" t="s">
        <v>121</v>
      </c>
      <c r="Z311" s="121">
        <v>18132</v>
      </c>
      <c r="AA311" s="123">
        <v>1019.9250000000004</v>
      </c>
      <c r="AB311" s="121" t="s">
        <v>478</v>
      </c>
    </row>
    <row r="312" spans="1:28">
      <c r="A312" s="121">
        <f t="shared" si="4"/>
        <v>311</v>
      </c>
      <c r="B312" s="123">
        <f>YEAR(Table6[[#This Row],[Date]])+IF(MONTH(Table6[[#This Row],[Date]])&gt;=4,1,0)</f>
        <v>2026</v>
      </c>
      <c r="C312" s="121">
        <f>YEAR(Table6[[#This Row],[Date]])</f>
        <v>2025</v>
      </c>
      <c r="D312" s="121" t="s">
        <v>490</v>
      </c>
      <c r="E312" s="135">
        <f>Table6[[#This Row],[Date]]-DAY(Table6[[#This Row],[Date]])+1</f>
        <v>45748</v>
      </c>
      <c r="F312" s="134">
        <v>45762</v>
      </c>
      <c r="G312" s="121" t="s">
        <v>144</v>
      </c>
      <c r="H312" s="39" t="str">
        <f>_xlfn.XLOOKUP(Table6[[#This Row],[Affected WTG]],'Basic Data'!$A:$A,'Basic Data'!$B:$B)</f>
        <v>PWEGPL</v>
      </c>
      <c r="I312" s="39" t="str">
        <f>_xlfn.XLOOKUP(Table6[[#This Row],[Affected WTG]],'Basic Data'!$A:$A,'Basic Data'!$C:$C)</f>
        <v>MSEDCL</v>
      </c>
      <c r="J312" s="363">
        <f>IFERROR(VLOOKUP(Table6[[#This Row],[Affected WTG]],'Basic Data'!$A$3:$E$56,5,0),"")</f>
        <v>2.564102564102564E-2</v>
      </c>
      <c r="K312" s="121" t="s">
        <v>492</v>
      </c>
      <c r="L312" s="39" t="str">
        <f>IFERROR(VLOOKUP(Table6[[#This Row],[Error Code]],'Basic Data'!$T:$U,2,0),"")</f>
        <v>Manual Stop - Safety Related</v>
      </c>
      <c r="M312" s="364" t="s">
        <v>481</v>
      </c>
      <c r="O312" s="365">
        <v>0</v>
      </c>
      <c r="P312" s="365">
        <v>0.99930555555555556</v>
      </c>
      <c r="Q312" s="365">
        <v>0.99930555555555556</v>
      </c>
      <c r="R312" s="366">
        <f>IF(Table6[[#This Row],[Work Start TimeStamp]]="","",(Table6[[#This Row],[Work Start TimeStamp]]-Table6[[#This Row],[Fault Start TimeStamp]])*24)</f>
        <v>23.983333333333334</v>
      </c>
      <c r="S312" s="367">
        <f>(Table6[[#This Row],[Fault Clearance time]]-Table6[[#This Row],[Work Start TimeStamp]])*24</f>
        <v>0</v>
      </c>
      <c r="T312" s="368">
        <f>(Table6[[#This Row],[Fault Clearance time]]-Table6[[#This Row],[Fault Start TimeStamp]])*24</f>
        <v>23.983333333333334</v>
      </c>
      <c r="U312" s="364" t="s">
        <v>498</v>
      </c>
      <c r="V312" s="369" t="s">
        <v>473</v>
      </c>
      <c r="W312" s="354">
        <f>Table6[[#This Row],[Breakdown Time]]*(1/39)</f>
        <v>0.61495726495726499</v>
      </c>
      <c r="X312" s="352" t="s">
        <v>468</v>
      </c>
      <c r="Y312" s="370" t="s">
        <v>141</v>
      </c>
      <c r="Z312" s="121">
        <v>15896</v>
      </c>
      <c r="AA312" s="123">
        <v>15884.961111111113</v>
      </c>
      <c r="AB312" s="121" t="s">
        <v>478</v>
      </c>
    </row>
    <row r="313" spans="1:28">
      <c r="A313" s="121">
        <f t="shared" si="4"/>
        <v>312</v>
      </c>
      <c r="B313" s="123">
        <f>YEAR(Table6[[#This Row],[Date]])+IF(MONTH(Table6[[#This Row],[Date]])&gt;=4,1,0)</f>
        <v>2026</v>
      </c>
      <c r="C313" s="121">
        <f>YEAR(Table6[[#This Row],[Date]])</f>
        <v>2025</v>
      </c>
      <c r="D313" s="121" t="s">
        <v>490</v>
      </c>
      <c r="E313" s="135">
        <f>Table6[[#This Row],[Date]]-DAY(Table6[[#This Row],[Date]])+1</f>
        <v>45748</v>
      </c>
      <c r="F313" s="134">
        <v>45762</v>
      </c>
      <c r="G313" s="121" t="s">
        <v>142</v>
      </c>
      <c r="H313" s="39" t="str">
        <f>_xlfn.XLOOKUP(Table6[[#This Row],[Affected WTG]],'Basic Data'!$A:$A,'Basic Data'!$B:$B)</f>
        <v>PWEGPL</v>
      </c>
      <c r="I313" s="39" t="str">
        <f>_xlfn.XLOOKUP(Table6[[#This Row],[Affected WTG]],'Basic Data'!$A:$A,'Basic Data'!$C:$C)</f>
        <v>MSEDCL</v>
      </c>
      <c r="J313" s="363">
        <f>IFERROR(VLOOKUP(Table6[[#This Row],[Affected WTG]],'Basic Data'!$A$3:$E$56,5,0),"")</f>
        <v>2.564102564102564E-2</v>
      </c>
      <c r="K313" s="121" t="s">
        <v>492</v>
      </c>
      <c r="L313" s="39" t="str">
        <f>IFERROR(VLOOKUP(Table6[[#This Row],[Error Code]],'Basic Data'!$T:$U,2,0),"")</f>
        <v>Manual Stop - Safety Related</v>
      </c>
      <c r="M313" s="364" t="s">
        <v>481</v>
      </c>
      <c r="O313" s="365">
        <v>0</v>
      </c>
      <c r="P313" s="365">
        <v>0.99930555555555556</v>
      </c>
      <c r="Q313" s="365">
        <v>0.99930555555555556</v>
      </c>
      <c r="R313" s="366">
        <f>IF(Table6[[#This Row],[Work Start TimeStamp]]="","",(Table6[[#This Row],[Work Start TimeStamp]]-Table6[[#This Row],[Fault Start TimeStamp]])*24)</f>
        <v>23.983333333333334</v>
      </c>
      <c r="S313" s="367">
        <f>(Table6[[#This Row],[Fault Clearance time]]-Table6[[#This Row],[Work Start TimeStamp]])*24</f>
        <v>0</v>
      </c>
      <c r="T313" s="368">
        <f>(Table6[[#This Row],[Fault Clearance time]]-Table6[[#This Row],[Fault Start TimeStamp]])*24</f>
        <v>23.983333333333334</v>
      </c>
      <c r="U313" s="364" t="s">
        <v>498</v>
      </c>
      <c r="V313" s="369" t="s">
        <v>473</v>
      </c>
      <c r="W313" s="354">
        <f>Table6[[#This Row],[Breakdown Time]]*(1/39)</f>
        <v>0.61495726495726499</v>
      </c>
      <c r="X313" s="352" t="s">
        <v>468</v>
      </c>
      <c r="Y313" s="370" t="s">
        <v>141</v>
      </c>
      <c r="Z313" s="121">
        <v>15896</v>
      </c>
      <c r="AA313" s="123">
        <v>15884.961111111113</v>
      </c>
      <c r="AB313" s="121" t="s">
        <v>478</v>
      </c>
    </row>
    <row r="314" spans="1:28">
      <c r="A314" s="121">
        <f t="shared" si="4"/>
        <v>313</v>
      </c>
      <c r="B314" s="123">
        <f>YEAR(Table6[[#This Row],[Date]])+IF(MONTH(Table6[[#This Row],[Date]])&gt;=4,1,0)</f>
        <v>2026</v>
      </c>
      <c r="C314" s="121">
        <f>YEAR(Table6[[#This Row],[Date]])</f>
        <v>2025</v>
      </c>
      <c r="D314" s="121" t="s">
        <v>490</v>
      </c>
      <c r="E314" s="135">
        <f>Table6[[#This Row],[Date]]-DAY(Table6[[#This Row],[Date]])+1</f>
        <v>45748</v>
      </c>
      <c r="F314" s="134">
        <v>45762</v>
      </c>
      <c r="G314" s="121" t="s">
        <v>115</v>
      </c>
      <c r="H314" s="39" t="str">
        <f>_xlfn.XLOOKUP(Table6[[#This Row],[Affected WTG]],'Basic Data'!$A:$A,'Basic Data'!$B:$B)</f>
        <v>PWEGPL</v>
      </c>
      <c r="I314" s="39" t="str">
        <f>_xlfn.XLOOKUP(Table6[[#This Row],[Affected WTG]],'Basic Data'!$A:$A,'Basic Data'!$C:$C)</f>
        <v>MSEDCL</v>
      </c>
      <c r="J314" s="363">
        <f>IFERROR(VLOOKUP(Table6[[#This Row],[Affected WTG]],'Basic Data'!$A$3:$E$56,5,0),"")</f>
        <v>2.564102564102564E-2</v>
      </c>
      <c r="K314" s="121">
        <v>5210</v>
      </c>
      <c r="L314" s="39" t="str">
        <f>IFERROR(VLOOKUP(Table6[[#This Row],[Error Code]],'Basic Data'!$T:$U,2,0),"")</f>
        <v>Failure Of The Contactor's Rotor Power</v>
      </c>
      <c r="M314" s="364" t="s">
        <v>462</v>
      </c>
      <c r="O314" s="365">
        <v>0.44930555555555557</v>
      </c>
      <c r="P314" s="365">
        <v>0.48055555555555557</v>
      </c>
      <c r="Q314" s="365">
        <v>0.48194444444444445</v>
      </c>
      <c r="R314" s="366">
        <f>IF(Table6[[#This Row],[Work Start TimeStamp]]="","",(Table6[[#This Row],[Work Start TimeStamp]]-Table6[[#This Row],[Fault Start TimeStamp]])*24)</f>
        <v>0.75</v>
      </c>
      <c r="S314" s="367">
        <f>(Table6[[#This Row],[Fault Clearance time]]-Table6[[#This Row],[Work Start TimeStamp]])*24</f>
        <v>3.3333333333333215E-2</v>
      </c>
      <c r="T314" s="368">
        <f>(Table6[[#This Row],[Fault Clearance time]]-Table6[[#This Row],[Fault Start TimeStamp]])*24</f>
        <v>0.78333333333333321</v>
      </c>
      <c r="U314" s="364" t="s">
        <v>493</v>
      </c>
      <c r="V314" s="369" t="s">
        <v>463</v>
      </c>
      <c r="W314" s="354">
        <f>Table6[[#This Row],[Breakdown Time]]*(1/39)</f>
        <v>2.008547008547008E-2</v>
      </c>
      <c r="X314" s="352" t="s">
        <v>465</v>
      </c>
      <c r="Y314" s="370" t="s">
        <v>121</v>
      </c>
      <c r="Z314" s="121">
        <v>14853</v>
      </c>
      <c r="AA314" s="123">
        <v>484.78541666666661</v>
      </c>
      <c r="AB314" s="121" t="s">
        <v>478</v>
      </c>
    </row>
    <row r="315" spans="1:28">
      <c r="A315" s="121">
        <f t="shared" si="4"/>
        <v>314</v>
      </c>
      <c r="B315" s="123">
        <f>YEAR(Table6[[#This Row],[Date]])+IF(MONTH(Table6[[#This Row],[Date]])&gt;=4,1,0)</f>
        <v>2026</v>
      </c>
      <c r="C315" s="121">
        <f>YEAR(Table6[[#This Row],[Date]])</f>
        <v>2025</v>
      </c>
      <c r="D315" s="121" t="s">
        <v>490</v>
      </c>
      <c r="E315" s="135">
        <f>Table6[[#This Row],[Date]]-DAY(Table6[[#This Row],[Date]])+1</f>
        <v>45748</v>
      </c>
      <c r="F315" s="134">
        <v>45762</v>
      </c>
      <c r="G315" s="121" t="s">
        <v>118</v>
      </c>
      <c r="H315" s="39" t="str">
        <f>_xlfn.XLOOKUP(Table6[[#This Row],[Affected WTG]],'Basic Data'!$A:$A,'Basic Data'!$B:$B)</f>
        <v>PWEGPL</v>
      </c>
      <c r="I315" s="39" t="str">
        <f>_xlfn.XLOOKUP(Table6[[#This Row],[Affected WTG]],'Basic Data'!$A:$A,'Basic Data'!$C:$C)</f>
        <v>MSEDCL</v>
      </c>
      <c r="J315" s="363">
        <f>IFERROR(VLOOKUP(Table6[[#This Row],[Affected WTG]],'Basic Data'!$A$3:$E$56,5,0),"")</f>
        <v>2.564102564102564E-2</v>
      </c>
      <c r="K315" s="121">
        <v>2118</v>
      </c>
      <c r="L315" s="39" t="str">
        <f>IFERROR(VLOOKUP(Table6[[#This Row],[Error Code]],'Basic Data'!$T:$U,2,0),"")</f>
        <v>Bus Error - Interbus Failure</v>
      </c>
      <c r="M315" s="364" t="s">
        <v>462</v>
      </c>
      <c r="O315" s="365">
        <v>0.64930555555555558</v>
      </c>
      <c r="P315" s="365">
        <v>0.67361111111111116</v>
      </c>
      <c r="Q315" s="365">
        <v>0.67500000000000004</v>
      </c>
      <c r="R315" s="366">
        <f>IF(Table6[[#This Row],[Work Start TimeStamp]]="","",(Table6[[#This Row],[Work Start TimeStamp]]-Table6[[#This Row],[Fault Start TimeStamp]])*24)</f>
        <v>0.58333333333333393</v>
      </c>
      <c r="S315" s="367">
        <f>(Table6[[#This Row],[Fault Clearance time]]-Table6[[#This Row],[Work Start TimeStamp]])*24</f>
        <v>3.3333333333333215E-2</v>
      </c>
      <c r="T315" s="368">
        <f>(Table6[[#This Row],[Fault Clearance time]]-Table6[[#This Row],[Fault Start TimeStamp]])*24</f>
        <v>0.61666666666666714</v>
      </c>
      <c r="U315" s="364" t="s">
        <v>491</v>
      </c>
      <c r="V315" s="369" t="s">
        <v>463</v>
      </c>
      <c r="W315" s="354">
        <f>Table6[[#This Row],[Breakdown Time]]*(1/39)</f>
        <v>1.5811965811965825E-2</v>
      </c>
      <c r="X315" s="352" t="s">
        <v>465</v>
      </c>
      <c r="Y315" s="370" t="s">
        <v>117</v>
      </c>
      <c r="Z315" s="121">
        <v>14963</v>
      </c>
      <c r="AA315" s="123">
        <v>384.46597222222255</v>
      </c>
      <c r="AB315" s="121" t="s">
        <v>478</v>
      </c>
    </row>
    <row r="316" spans="1:28">
      <c r="A316" s="121">
        <f t="shared" si="4"/>
        <v>315</v>
      </c>
      <c r="B316" s="123">
        <f>YEAR(Table6[[#This Row],[Date]])+IF(MONTH(Table6[[#This Row],[Date]])&gt;=4,1,0)</f>
        <v>2026</v>
      </c>
      <c r="C316" s="121">
        <f>YEAR(Table6[[#This Row],[Date]])</f>
        <v>2025</v>
      </c>
      <c r="D316" s="121" t="s">
        <v>490</v>
      </c>
      <c r="E316" s="135">
        <f>Table6[[#This Row],[Date]]-DAY(Table6[[#This Row],[Date]])+1</f>
        <v>45748</v>
      </c>
      <c r="F316" s="134">
        <v>45762</v>
      </c>
      <c r="G316" s="121" t="s">
        <v>152</v>
      </c>
      <c r="H316" s="39" t="str">
        <f>_xlfn.XLOOKUP(Table6[[#This Row],[Affected WTG]],'Basic Data'!$A:$A,'Basic Data'!$B:$B)</f>
        <v>PWEGPL</v>
      </c>
      <c r="I316" s="39" t="str">
        <f>_xlfn.XLOOKUP(Table6[[#This Row],[Affected WTG]],'Basic Data'!$A:$A,'Basic Data'!$C:$C)</f>
        <v>MSEDCL</v>
      </c>
      <c r="J316" s="363">
        <f>IFERROR(VLOOKUP(Table6[[#This Row],[Affected WTG]],'Basic Data'!$A$3:$E$56,5,0),"")</f>
        <v>2.564102564102564E-2</v>
      </c>
      <c r="K316" s="121" t="s">
        <v>466</v>
      </c>
      <c r="L316" s="39" t="str">
        <f>IFERROR(VLOOKUP(Table6[[#This Row],[Error Code]],'Basic Data'!$T:$U,2,0),"")</f>
        <v>Manual Stop</v>
      </c>
      <c r="M316" s="364" t="s">
        <v>479</v>
      </c>
      <c r="O316" s="365">
        <v>0.47916666666666669</v>
      </c>
      <c r="P316" s="365">
        <v>0.47916666666666669</v>
      </c>
      <c r="Q316" s="365">
        <v>0.65625</v>
      </c>
      <c r="R316" s="366">
        <f>IF(Table6[[#This Row],[Work Start TimeStamp]]="","",(Table6[[#This Row],[Work Start TimeStamp]]-Table6[[#This Row],[Fault Start TimeStamp]])*24)</f>
        <v>0</v>
      </c>
      <c r="S316" s="367">
        <f>(Table6[[#This Row],[Fault Clearance time]]-Table6[[#This Row],[Work Start TimeStamp]])*24</f>
        <v>4.25</v>
      </c>
      <c r="T316" s="368">
        <f>(Table6[[#This Row],[Fault Clearance time]]-Table6[[#This Row],[Fault Start TimeStamp]])*24</f>
        <v>4.25</v>
      </c>
      <c r="U316" s="364" t="s">
        <v>549</v>
      </c>
      <c r="V316" s="369" t="s">
        <v>463</v>
      </c>
      <c r="W316" s="354">
        <f>Table6[[#This Row],[Breakdown Time]]*(1/39)</f>
        <v>0.10897435897435898</v>
      </c>
      <c r="X316" s="352" t="s">
        <v>464</v>
      </c>
      <c r="Y316" s="370" t="s">
        <v>153</v>
      </c>
      <c r="Z316" s="121">
        <v>12705</v>
      </c>
      <c r="AA316" s="123">
        <v>2249.84375</v>
      </c>
      <c r="AB316" s="121" t="s">
        <v>478</v>
      </c>
    </row>
    <row r="317" spans="1:28">
      <c r="A317" s="121">
        <f t="shared" si="4"/>
        <v>316</v>
      </c>
      <c r="B317" s="123">
        <f>YEAR(Table6[[#This Row],[Date]])+IF(MONTH(Table6[[#This Row],[Date]])&gt;=4,1,0)</f>
        <v>2026</v>
      </c>
      <c r="C317" s="121">
        <f>YEAR(Table6[[#This Row],[Date]])</f>
        <v>2025</v>
      </c>
      <c r="D317" s="121" t="s">
        <v>490</v>
      </c>
      <c r="E317" s="135">
        <f>Table6[[#This Row],[Date]]-DAY(Table6[[#This Row],[Date]])+1</f>
        <v>45748</v>
      </c>
      <c r="F317" s="134">
        <v>45763</v>
      </c>
      <c r="G317" s="121" t="s">
        <v>144</v>
      </c>
      <c r="H317" s="39" t="str">
        <f>_xlfn.XLOOKUP(Table6[[#This Row],[Affected WTG]],'Basic Data'!$A:$A,'Basic Data'!$B:$B)</f>
        <v>PWEGPL</v>
      </c>
      <c r="I317" s="39" t="str">
        <f>_xlfn.XLOOKUP(Table6[[#This Row],[Affected WTG]],'Basic Data'!$A:$A,'Basic Data'!$C:$C)</f>
        <v>MSEDCL</v>
      </c>
      <c r="J317" s="363">
        <f>IFERROR(VLOOKUP(Table6[[#This Row],[Affected WTG]],'Basic Data'!$A$3:$E$56,5,0),"")</f>
        <v>2.564102564102564E-2</v>
      </c>
      <c r="K317" s="121" t="s">
        <v>492</v>
      </c>
      <c r="L317" s="39" t="str">
        <f>IFERROR(VLOOKUP(Table6[[#This Row],[Error Code]],'Basic Data'!$T:$U,2,0),"")</f>
        <v>Manual Stop - Safety Related</v>
      </c>
      <c r="M317" s="364" t="s">
        <v>481</v>
      </c>
      <c r="O317" s="365">
        <v>0</v>
      </c>
      <c r="P317" s="365">
        <v>0.99930555555555556</v>
      </c>
      <c r="Q317" s="365">
        <v>0.99930555555555556</v>
      </c>
      <c r="R317" s="366">
        <f>IF(Table6[[#This Row],[Work Start TimeStamp]]="","",(Table6[[#This Row],[Work Start TimeStamp]]-Table6[[#This Row],[Fault Start TimeStamp]])*24)</f>
        <v>23.983333333333334</v>
      </c>
      <c r="S317" s="367">
        <f>(Table6[[#This Row],[Fault Clearance time]]-Table6[[#This Row],[Work Start TimeStamp]])*24</f>
        <v>0</v>
      </c>
      <c r="T317" s="368">
        <f>(Table6[[#This Row],[Fault Clearance time]]-Table6[[#This Row],[Fault Start TimeStamp]])*24</f>
        <v>23.983333333333334</v>
      </c>
      <c r="U317" s="364" t="s">
        <v>498</v>
      </c>
      <c r="V317" s="369" t="s">
        <v>473</v>
      </c>
      <c r="W317" s="354">
        <f>Table6[[#This Row],[Breakdown Time]]*(1/39)</f>
        <v>0.61495726495726499</v>
      </c>
      <c r="X317" s="352" t="s">
        <v>468</v>
      </c>
      <c r="Y317" s="370" t="s">
        <v>141</v>
      </c>
      <c r="Z317" s="121">
        <v>15884.961111111113</v>
      </c>
      <c r="AA317" s="123">
        <v>15873.929888117287</v>
      </c>
      <c r="AB317" s="121" t="s">
        <v>478</v>
      </c>
    </row>
    <row r="318" spans="1:28">
      <c r="A318" s="121">
        <f t="shared" si="4"/>
        <v>317</v>
      </c>
      <c r="B318" s="123">
        <f>YEAR(Table6[[#This Row],[Date]])+IF(MONTH(Table6[[#This Row],[Date]])&gt;=4,1,0)</f>
        <v>2026</v>
      </c>
      <c r="C318" s="121">
        <f>YEAR(Table6[[#This Row],[Date]])</f>
        <v>2025</v>
      </c>
      <c r="D318" s="121" t="s">
        <v>490</v>
      </c>
      <c r="E318" s="135">
        <f>Table6[[#This Row],[Date]]-DAY(Table6[[#This Row],[Date]])+1</f>
        <v>45748</v>
      </c>
      <c r="F318" s="134">
        <v>45763</v>
      </c>
      <c r="G318" s="121" t="s">
        <v>142</v>
      </c>
      <c r="H318" s="39" t="str">
        <f>_xlfn.XLOOKUP(Table6[[#This Row],[Affected WTG]],'Basic Data'!$A:$A,'Basic Data'!$B:$B)</f>
        <v>PWEGPL</v>
      </c>
      <c r="I318" s="39" t="str">
        <f>_xlfn.XLOOKUP(Table6[[#This Row],[Affected WTG]],'Basic Data'!$A:$A,'Basic Data'!$C:$C)</f>
        <v>MSEDCL</v>
      </c>
      <c r="J318" s="363">
        <f>IFERROR(VLOOKUP(Table6[[#This Row],[Affected WTG]],'Basic Data'!$A$3:$E$56,5,0),"")</f>
        <v>2.564102564102564E-2</v>
      </c>
      <c r="K318" s="121" t="s">
        <v>492</v>
      </c>
      <c r="L318" s="39" t="str">
        <f>IFERROR(VLOOKUP(Table6[[#This Row],[Error Code]],'Basic Data'!$T:$U,2,0),"")</f>
        <v>Manual Stop - Safety Related</v>
      </c>
      <c r="M318" s="364" t="s">
        <v>481</v>
      </c>
      <c r="O318" s="365">
        <v>0</v>
      </c>
      <c r="P318" s="365">
        <v>0.99930555555555556</v>
      </c>
      <c r="Q318" s="365">
        <v>0.99930555555555556</v>
      </c>
      <c r="R318" s="366">
        <f>IF(Table6[[#This Row],[Work Start TimeStamp]]="","",(Table6[[#This Row],[Work Start TimeStamp]]-Table6[[#This Row],[Fault Start TimeStamp]])*24)</f>
        <v>23.983333333333334</v>
      </c>
      <c r="S318" s="367">
        <f>(Table6[[#This Row],[Fault Clearance time]]-Table6[[#This Row],[Work Start TimeStamp]])*24</f>
        <v>0</v>
      </c>
      <c r="T318" s="368">
        <f>(Table6[[#This Row],[Fault Clearance time]]-Table6[[#This Row],[Fault Start TimeStamp]])*24</f>
        <v>23.983333333333334</v>
      </c>
      <c r="U318" s="364" t="s">
        <v>498</v>
      </c>
      <c r="V318" s="369" t="s">
        <v>473</v>
      </c>
      <c r="W318" s="354">
        <f>Table6[[#This Row],[Breakdown Time]]*(1/39)</f>
        <v>0.61495726495726499</v>
      </c>
      <c r="X318" s="352" t="s">
        <v>468</v>
      </c>
      <c r="Y318" s="370" t="s">
        <v>141</v>
      </c>
      <c r="Z318" s="121">
        <v>15884.961111111113</v>
      </c>
      <c r="AA318" s="123">
        <v>15873.929888117287</v>
      </c>
      <c r="AB318" s="121" t="s">
        <v>478</v>
      </c>
    </row>
    <row r="319" spans="1:28">
      <c r="A319" s="121">
        <f t="shared" si="4"/>
        <v>318</v>
      </c>
      <c r="B319" s="123">
        <f>YEAR(Table6[[#This Row],[Date]])+IF(MONTH(Table6[[#This Row],[Date]])&gt;=4,1,0)</f>
        <v>2026</v>
      </c>
      <c r="C319" s="121">
        <f>YEAR(Table6[[#This Row],[Date]])</f>
        <v>2025</v>
      </c>
      <c r="D319" s="121" t="s">
        <v>490</v>
      </c>
      <c r="E319" s="135">
        <f>Table6[[#This Row],[Date]]-DAY(Table6[[#This Row],[Date]])+1</f>
        <v>45748</v>
      </c>
      <c r="F319" s="134">
        <v>45763</v>
      </c>
      <c r="G319" s="121" t="s">
        <v>135</v>
      </c>
      <c r="H319" s="39" t="str">
        <f>_xlfn.XLOOKUP(Table6[[#This Row],[Affected WTG]],'Basic Data'!$A:$A,'Basic Data'!$B:$B)</f>
        <v>PWEGPL</v>
      </c>
      <c r="I319" s="39" t="str">
        <f>_xlfn.XLOOKUP(Table6[[#This Row],[Affected WTG]],'Basic Data'!$A:$A,'Basic Data'!$C:$C)</f>
        <v>MSEDCL</v>
      </c>
      <c r="J319" s="363">
        <f>IFERROR(VLOOKUP(Table6[[#This Row],[Affected WTG]],'Basic Data'!$A$3:$E$56,5,0),"")</f>
        <v>2.564102564102564E-2</v>
      </c>
      <c r="K319" s="121">
        <v>5228</v>
      </c>
      <c r="L319" s="39" t="str">
        <f>IFERROR(VLOOKUP(Table6[[#This Row],[Error Code]],'Basic Data'!$T:$U,2,0),"")</f>
        <v>Preload Failure</v>
      </c>
      <c r="M319" s="364" t="s">
        <v>462</v>
      </c>
      <c r="O319" s="365">
        <v>0.6333333333333333</v>
      </c>
      <c r="P319" s="365">
        <v>0.65347222222222223</v>
      </c>
      <c r="Q319" s="365">
        <v>0.66527777777777775</v>
      </c>
      <c r="R319" s="366">
        <f>IF(Table6[[#This Row],[Work Start TimeStamp]]="","",(Table6[[#This Row],[Work Start TimeStamp]]-Table6[[#This Row],[Fault Start TimeStamp]])*24)</f>
        <v>0.48333333333333428</v>
      </c>
      <c r="S319" s="367">
        <f>(Table6[[#This Row],[Fault Clearance time]]-Table6[[#This Row],[Work Start TimeStamp]])*24</f>
        <v>0.28333333333333233</v>
      </c>
      <c r="T319" s="368">
        <f>(Table6[[#This Row],[Fault Clearance time]]-Table6[[#This Row],[Fault Start TimeStamp]])*24</f>
        <v>0.76666666666666661</v>
      </c>
      <c r="U319" s="364" t="s">
        <v>550</v>
      </c>
      <c r="V319" s="369" t="s">
        <v>463</v>
      </c>
      <c r="W319" s="354">
        <f>Table6[[#This Row],[Breakdown Time]]*(1/39)</f>
        <v>1.9658119658119654E-2</v>
      </c>
      <c r="X319" s="352" t="s">
        <v>465</v>
      </c>
      <c r="Y319" s="370" t="s">
        <v>136</v>
      </c>
      <c r="Z319" s="121">
        <v>12169</v>
      </c>
      <c r="AA319" s="123">
        <v>388.73194444444442</v>
      </c>
      <c r="AB319" s="121" t="s">
        <v>478</v>
      </c>
    </row>
    <row r="320" spans="1:28">
      <c r="A320" s="121">
        <f t="shared" si="4"/>
        <v>319</v>
      </c>
      <c r="B320" s="123">
        <f>YEAR(Table6[[#This Row],[Date]])+IF(MONTH(Table6[[#This Row],[Date]])&gt;=4,1,0)</f>
        <v>2026</v>
      </c>
      <c r="C320" s="121">
        <f>YEAR(Table6[[#This Row],[Date]])</f>
        <v>2025</v>
      </c>
      <c r="D320" s="121" t="s">
        <v>490</v>
      </c>
      <c r="E320" s="135">
        <f>Table6[[#This Row],[Date]]-DAY(Table6[[#This Row],[Date]])+1</f>
        <v>45748</v>
      </c>
      <c r="F320" s="134">
        <v>45763</v>
      </c>
      <c r="G320" s="121" t="s">
        <v>138</v>
      </c>
      <c r="H320" s="39" t="str">
        <f>_xlfn.XLOOKUP(Table6[[#This Row],[Affected WTG]],'Basic Data'!$A:$A,'Basic Data'!$B:$B)</f>
        <v>PWEGPL</v>
      </c>
      <c r="I320" s="39" t="str">
        <f>_xlfn.XLOOKUP(Table6[[#This Row],[Affected WTG]],'Basic Data'!$A:$A,'Basic Data'!$C:$C)</f>
        <v>MSEDCL</v>
      </c>
      <c r="J320" s="363">
        <f>IFERROR(VLOOKUP(Table6[[#This Row],[Affected WTG]],'Basic Data'!$A$3:$E$56,5,0),"")</f>
        <v>2.564102564102564E-2</v>
      </c>
      <c r="K320" s="121">
        <v>5201</v>
      </c>
      <c r="L320" s="39" t="str">
        <f>IFERROR(VLOOKUP(Table6[[#This Row],[Error Code]],'Basic Data'!$T:$U,2,0),"")</f>
        <v>Magnetothermic Trigger Of The Stator Protection</v>
      </c>
      <c r="M320" s="364" t="s">
        <v>462</v>
      </c>
      <c r="O320" s="365">
        <v>0.6333333333333333</v>
      </c>
      <c r="P320" s="365">
        <v>0.67013888888888884</v>
      </c>
      <c r="Q320" s="365">
        <v>0.67152777777777772</v>
      </c>
      <c r="R320" s="366">
        <f>IF(Table6[[#This Row],[Work Start TimeStamp]]="","",(Table6[[#This Row],[Work Start TimeStamp]]-Table6[[#This Row],[Fault Start TimeStamp]])*24)</f>
        <v>0.88333333333333286</v>
      </c>
      <c r="S320" s="367">
        <f>(Table6[[#This Row],[Fault Clearance time]]-Table6[[#This Row],[Work Start TimeStamp]])*24</f>
        <v>3.3333333333333215E-2</v>
      </c>
      <c r="T320" s="368">
        <f>(Table6[[#This Row],[Fault Clearance time]]-Table6[[#This Row],[Fault Start TimeStamp]])*24</f>
        <v>0.91666666666666607</v>
      </c>
      <c r="U320" s="364" t="s">
        <v>493</v>
      </c>
      <c r="V320" s="369" t="s">
        <v>463</v>
      </c>
      <c r="W320" s="354">
        <f>Table6[[#This Row],[Breakdown Time]]*(1/39)</f>
        <v>2.3504273504273487E-2</v>
      </c>
      <c r="X320" s="352" t="s">
        <v>465</v>
      </c>
      <c r="Y320" s="370" t="s">
        <v>140</v>
      </c>
      <c r="Z320" s="121">
        <v>12185</v>
      </c>
      <c r="AA320" s="123">
        <v>465.39930555555526</v>
      </c>
      <c r="AB320" s="121" t="s">
        <v>478</v>
      </c>
    </row>
    <row r="321" spans="1:28">
      <c r="A321" s="121">
        <f t="shared" si="4"/>
        <v>320</v>
      </c>
      <c r="B321" s="123">
        <f>YEAR(Table6[[#This Row],[Date]])+IF(MONTH(Table6[[#This Row],[Date]])&gt;=4,1,0)</f>
        <v>2026</v>
      </c>
      <c r="C321" s="121">
        <f>YEAR(Table6[[#This Row],[Date]])</f>
        <v>2025</v>
      </c>
      <c r="D321" s="121" t="s">
        <v>490</v>
      </c>
      <c r="E321" s="135">
        <f>Table6[[#This Row],[Date]]-DAY(Table6[[#This Row],[Date]])+1</f>
        <v>45748</v>
      </c>
      <c r="F321" s="134">
        <v>45763</v>
      </c>
      <c r="G321" s="121" t="s">
        <v>151</v>
      </c>
      <c r="H321" s="39" t="str">
        <f>_xlfn.XLOOKUP(Table6[[#This Row],[Affected WTG]],'Basic Data'!$A:$A,'Basic Data'!$B:$B)</f>
        <v>PWEGPL</v>
      </c>
      <c r="I321" s="39" t="str">
        <f>_xlfn.XLOOKUP(Table6[[#This Row],[Affected WTG]],'Basic Data'!$A:$A,'Basic Data'!$C:$C)</f>
        <v>MSEDCL</v>
      </c>
      <c r="J321" s="363">
        <f>IFERROR(VLOOKUP(Table6[[#This Row],[Affected WTG]],'Basic Data'!$A$3:$E$56,5,0),"")</f>
        <v>2.564102564102564E-2</v>
      </c>
      <c r="K321" s="121">
        <v>5201</v>
      </c>
      <c r="L321" s="39" t="str">
        <f>IFERROR(VLOOKUP(Table6[[#This Row],[Error Code]],'Basic Data'!$T:$U,2,0),"")</f>
        <v>Magnetothermic Trigger Of The Stator Protection</v>
      </c>
      <c r="M321" s="364" t="s">
        <v>462</v>
      </c>
      <c r="O321" s="365">
        <v>0.6333333333333333</v>
      </c>
      <c r="P321" s="365">
        <v>0.67708333333333337</v>
      </c>
      <c r="Q321" s="365">
        <v>0.6791666666666667</v>
      </c>
      <c r="R321" s="366">
        <f>IF(Table6[[#This Row],[Work Start TimeStamp]]="","",(Table6[[#This Row],[Work Start TimeStamp]]-Table6[[#This Row],[Fault Start TimeStamp]])*24)</f>
        <v>1.0500000000000016</v>
      </c>
      <c r="S321" s="367">
        <f>(Table6[[#This Row],[Fault Clearance time]]-Table6[[#This Row],[Work Start TimeStamp]])*24</f>
        <v>4.9999999999999822E-2</v>
      </c>
      <c r="T321" s="368">
        <f>(Table6[[#This Row],[Fault Clearance time]]-Table6[[#This Row],[Fault Start TimeStamp]])*24</f>
        <v>1.1000000000000014</v>
      </c>
      <c r="U321" s="364" t="s">
        <v>493</v>
      </c>
      <c r="V321" s="369" t="s">
        <v>463</v>
      </c>
      <c r="W321" s="354">
        <f>Table6[[#This Row],[Breakdown Time]]*(1/39)</f>
        <v>2.820512820512824E-2</v>
      </c>
      <c r="X321" s="352" t="s">
        <v>465</v>
      </c>
      <c r="Y321" s="370" t="s">
        <v>153</v>
      </c>
      <c r="Z321" s="121">
        <v>14952</v>
      </c>
      <c r="AA321" s="123">
        <v>685.30000000000086</v>
      </c>
      <c r="AB321" s="121" t="s">
        <v>478</v>
      </c>
    </row>
    <row r="322" spans="1:28">
      <c r="A322" s="121">
        <f t="shared" si="4"/>
        <v>321</v>
      </c>
      <c r="B322" s="123">
        <f>YEAR(Table6[[#This Row],[Date]])+IF(MONTH(Table6[[#This Row],[Date]])&gt;=4,1,0)</f>
        <v>2026</v>
      </c>
      <c r="C322" s="121">
        <f>YEAR(Table6[[#This Row],[Date]])</f>
        <v>2025</v>
      </c>
      <c r="D322" s="121" t="s">
        <v>490</v>
      </c>
      <c r="E322" s="135">
        <f>Table6[[#This Row],[Date]]-DAY(Table6[[#This Row],[Date]])+1</f>
        <v>45748</v>
      </c>
      <c r="F322" s="134">
        <v>45764</v>
      </c>
      <c r="G322" s="121" t="s">
        <v>144</v>
      </c>
      <c r="H322" s="39" t="str">
        <f>_xlfn.XLOOKUP(Table6[[#This Row],[Affected WTG]],'Basic Data'!$A:$A,'Basic Data'!$B:$B)</f>
        <v>PWEGPL</v>
      </c>
      <c r="I322" s="39" t="str">
        <f>_xlfn.XLOOKUP(Table6[[#This Row],[Affected WTG]],'Basic Data'!$A:$A,'Basic Data'!$C:$C)</f>
        <v>MSEDCL</v>
      </c>
      <c r="J322" s="363">
        <f>IFERROR(VLOOKUP(Table6[[#This Row],[Affected WTG]],'Basic Data'!$A$3:$E$56,5,0),"")</f>
        <v>2.564102564102564E-2</v>
      </c>
      <c r="K322" s="121" t="s">
        <v>492</v>
      </c>
      <c r="L322" s="39" t="str">
        <f>IFERROR(VLOOKUP(Table6[[#This Row],[Error Code]],'Basic Data'!$T:$U,2,0),"")</f>
        <v>Manual Stop - Safety Related</v>
      </c>
      <c r="M322" s="364" t="s">
        <v>481</v>
      </c>
      <c r="O322" s="365">
        <v>0</v>
      </c>
      <c r="P322" s="365">
        <v>0.99930555555555556</v>
      </c>
      <c r="Q322" s="365">
        <v>0.99930555555555556</v>
      </c>
      <c r="R322" s="366">
        <f>IF(Table6[[#This Row],[Work Start TimeStamp]]="","",(Table6[[#This Row],[Work Start TimeStamp]]-Table6[[#This Row],[Fault Start TimeStamp]])*24)</f>
        <v>23.983333333333334</v>
      </c>
      <c r="S322" s="367">
        <f>(Table6[[#This Row],[Fault Clearance time]]-Table6[[#This Row],[Work Start TimeStamp]])*24</f>
        <v>0</v>
      </c>
      <c r="T322" s="368">
        <f>(Table6[[#This Row],[Fault Clearance time]]-Table6[[#This Row],[Fault Start TimeStamp]])*24</f>
        <v>23.983333333333334</v>
      </c>
      <c r="U322" s="364" t="s">
        <v>498</v>
      </c>
      <c r="V322" s="369" t="s">
        <v>473</v>
      </c>
      <c r="W322" s="354">
        <f>Table6[[#This Row],[Breakdown Time]]*(1/39)</f>
        <v>0.61495726495726499</v>
      </c>
      <c r="X322" s="352" t="s">
        <v>468</v>
      </c>
      <c r="Y322" s="370" t="s">
        <v>141</v>
      </c>
      <c r="Z322" s="121">
        <v>12176.538194444445</v>
      </c>
      <c r="AA322" s="123">
        <v>12168.082265142748</v>
      </c>
      <c r="AB322" s="121" t="s">
        <v>478</v>
      </c>
    </row>
    <row r="323" spans="1:28">
      <c r="A323" s="121">
        <f t="shared" si="4"/>
        <v>322</v>
      </c>
      <c r="B323" s="123">
        <f>YEAR(Table6[[#This Row],[Date]])+IF(MONTH(Table6[[#This Row],[Date]])&gt;=4,1,0)</f>
        <v>2026</v>
      </c>
      <c r="C323" s="121">
        <f>YEAR(Table6[[#This Row],[Date]])</f>
        <v>2025</v>
      </c>
      <c r="D323" s="121" t="s">
        <v>490</v>
      </c>
      <c r="E323" s="135">
        <f>Table6[[#This Row],[Date]]-DAY(Table6[[#This Row],[Date]])+1</f>
        <v>45748</v>
      </c>
      <c r="F323" s="134">
        <v>45764</v>
      </c>
      <c r="G323" s="121" t="s">
        <v>142</v>
      </c>
      <c r="H323" s="39" t="str">
        <f>_xlfn.XLOOKUP(Table6[[#This Row],[Affected WTG]],'Basic Data'!$A:$A,'Basic Data'!$B:$B)</f>
        <v>PWEGPL</v>
      </c>
      <c r="I323" s="39" t="str">
        <f>_xlfn.XLOOKUP(Table6[[#This Row],[Affected WTG]],'Basic Data'!$A:$A,'Basic Data'!$C:$C)</f>
        <v>MSEDCL</v>
      </c>
      <c r="J323" s="363">
        <f>IFERROR(VLOOKUP(Table6[[#This Row],[Affected WTG]],'Basic Data'!$A$3:$E$56,5,0),"")</f>
        <v>2.564102564102564E-2</v>
      </c>
      <c r="K323" s="121" t="s">
        <v>492</v>
      </c>
      <c r="L323" s="39" t="str">
        <f>IFERROR(VLOOKUP(Table6[[#This Row],[Error Code]],'Basic Data'!$T:$U,2,0),"")</f>
        <v>Manual Stop - Safety Related</v>
      </c>
      <c r="M323" s="364" t="s">
        <v>481</v>
      </c>
      <c r="O323" s="365">
        <v>0</v>
      </c>
      <c r="P323" s="365">
        <v>0.99930555555555556</v>
      </c>
      <c r="Q323" s="365">
        <v>0.99930555555555556</v>
      </c>
      <c r="R323" s="366">
        <f>IF(Table6[[#This Row],[Work Start TimeStamp]]="","",(Table6[[#This Row],[Work Start TimeStamp]]-Table6[[#This Row],[Fault Start TimeStamp]])*24)</f>
        <v>23.983333333333334</v>
      </c>
      <c r="S323" s="367">
        <f>(Table6[[#This Row],[Fault Clearance time]]-Table6[[#This Row],[Work Start TimeStamp]])*24</f>
        <v>0</v>
      </c>
      <c r="T323" s="368">
        <f>(Table6[[#This Row],[Fault Clearance time]]-Table6[[#This Row],[Fault Start TimeStamp]])*24</f>
        <v>23.983333333333334</v>
      </c>
      <c r="U323" s="364" t="s">
        <v>498</v>
      </c>
      <c r="V323" s="369" t="s">
        <v>473</v>
      </c>
      <c r="W323" s="354">
        <f>Table6[[#This Row],[Breakdown Time]]*(1/39)</f>
        <v>0.61495726495726499</v>
      </c>
      <c r="X323" s="352" t="s">
        <v>468</v>
      </c>
      <c r="Y323" s="370" t="s">
        <v>141</v>
      </c>
      <c r="Z323" s="121">
        <v>12176.538194444445</v>
      </c>
      <c r="AA323" s="123">
        <v>12168.082265142748</v>
      </c>
      <c r="AB323" s="121" t="s">
        <v>478</v>
      </c>
    </row>
    <row r="324" spans="1:28">
      <c r="A324" s="121">
        <f t="shared" ref="A324:A387" si="5">A323+1</f>
        <v>323</v>
      </c>
      <c r="B324" s="123">
        <f>YEAR(Table6[[#This Row],[Date]])+IF(MONTH(Table6[[#This Row],[Date]])&gt;=4,1,0)</f>
        <v>2026</v>
      </c>
      <c r="C324" s="121">
        <f>YEAR(Table6[[#This Row],[Date]])</f>
        <v>2025</v>
      </c>
      <c r="D324" s="121" t="s">
        <v>490</v>
      </c>
      <c r="E324" s="135">
        <f>Table6[[#This Row],[Date]]-DAY(Table6[[#This Row],[Date]])+1</f>
        <v>45748</v>
      </c>
      <c r="F324" s="134">
        <v>45764</v>
      </c>
      <c r="G324" s="121" t="s">
        <v>115</v>
      </c>
      <c r="H324" s="39" t="str">
        <f>_xlfn.XLOOKUP(Table6[[#This Row],[Affected WTG]],'Basic Data'!$A:$A,'Basic Data'!$B:$B)</f>
        <v>PWEGPL</v>
      </c>
      <c r="I324" s="39" t="str">
        <f>_xlfn.XLOOKUP(Table6[[#This Row],[Affected WTG]],'Basic Data'!$A:$A,'Basic Data'!$C:$C)</f>
        <v>MSEDCL</v>
      </c>
      <c r="J324" s="363">
        <f>IFERROR(VLOOKUP(Table6[[#This Row],[Affected WTG]],'Basic Data'!$A$3:$E$56,5,0),"")</f>
        <v>2.564102564102564E-2</v>
      </c>
      <c r="K324" s="121">
        <v>207</v>
      </c>
      <c r="L324" s="39" t="str">
        <f>IFERROR(VLOOKUP(Table6[[#This Row],[Error Code]],'Basic Data'!$T:$U,2,0),"")</f>
        <v>Hydraulic Oil High Temperature</v>
      </c>
      <c r="M324" s="364" t="s">
        <v>462</v>
      </c>
      <c r="O324" s="365">
        <v>0.16805555555555557</v>
      </c>
      <c r="P324" s="365">
        <v>0.2013888888888889</v>
      </c>
      <c r="Q324" s="365">
        <v>0.20277777777777778</v>
      </c>
      <c r="R324" s="366">
        <f>IF(Table6[[#This Row],[Work Start TimeStamp]]="","",(Table6[[#This Row],[Work Start TimeStamp]]-Table6[[#This Row],[Fault Start TimeStamp]])*24)</f>
        <v>0.79999999999999982</v>
      </c>
      <c r="S324" s="367">
        <f>(Table6[[#This Row],[Fault Clearance time]]-Table6[[#This Row],[Work Start TimeStamp]])*24</f>
        <v>3.3333333333333215E-2</v>
      </c>
      <c r="T324" s="368">
        <f>(Table6[[#This Row],[Fault Clearance time]]-Table6[[#This Row],[Fault Start TimeStamp]])*24</f>
        <v>0.83333333333333304</v>
      </c>
      <c r="U324" s="364" t="s">
        <v>491</v>
      </c>
      <c r="V324" s="369" t="s">
        <v>463</v>
      </c>
      <c r="W324" s="354">
        <f>Table6[[#This Row],[Breakdown Time]]*(1/39)</f>
        <v>2.1367521367521358E-2</v>
      </c>
      <c r="X324" s="352" t="s">
        <v>465</v>
      </c>
      <c r="Y324" s="370" t="s">
        <v>121</v>
      </c>
      <c r="Z324" s="121">
        <v>15190</v>
      </c>
      <c r="AA324" s="123">
        <v>527.43055555555532</v>
      </c>
      <c r="AB324" s="121" t="s">
        <v>478</v>
      </c>
    </row>
    <row r="325" spans="1:28">
      <c r="A325" s="121">
        <f t="shared" si="5"/>
        <v>324</v>
      </c>
      <c r="B325" s="123">
        <f>YEAR(Table6[[#This Row],[Date]])+IF(MONTH(Table6[[#This Row],[Date]])&gt;=4,1,0)</f>
        <v>2026</v>
      </c>
      <c r="C325" s="121">
        <f>YEAR(Table6[[#This Row],[Date]])</f>
        <v>2025</v>
      </c>
      <c r="D325" s="121" t="s">
        <v>490</v>
      </c>
      <c r="E325" s="135">
        <f>Table6[[#This Row],[Date]]-DAY(Table6[[#This Row],[Date]])+1</f>
        <v>45748</v>
      </c>
      <c r="F325" s="134">
        <v>45764</v>
      </c>
      <c r="G325" s="121" t="s">
        <v>115</v>
      </c>
      <c r="H325" s="39" t="str">
        <f>_xlfn.XLOOKUP(Table6[[#This Row],[Affected WTG]],'Basic Data'!$A:$A,'Basic Data'!$B:$B)</f>
        <v>PWEGPL</v>
      </c>
      <c r="I325" s="39" t="str">
        <f>_xlfn.XLOOKUP(Table6[[#This Row],[Affected WTG]],'Basic Data'!$A:$A,'Basic Data'!$C:$C)</f>
        <v>MSEDCL</v>
      </c>
      <c r="J325" s="363">
        <f>IFERROR(VLOOKUP(Table6[[#This Row],[Affected WTG]],'Basic Data'!$A$3:$E$56,5,0),"")</f>
        <v>2.564102564102564E-2</v>
      </c>
      <c r="K325" s="121" t="s">
        <v>466</v>
      </c>
      <c r="L325" s="39" t="str">
        <f>IFERROR(VLOOKUP(Table6[[#This Row],[Error Code]],'Basic Data'!$T:$U,2,0),"")</f>
        <v>Manual Stop</v>
      </c>
      <c r="M325" s="364" t="s">
        <v>479</v>
      </c>
      <c r="O325" s="365">
        <v>0.47222222222222221</v>
      </c>
      <c r="P325" s="365">
        <v>0.47222222222222221</v>
      </c>
      <c r="Q325" s="365">
        <v>0.54861111111111116</v>
      </c>
      <c r="R325" s="366">
        <f>IF(Table6[[#This Row],[Work Start TimeStamp]]="","",(Table6[[#This Row],[Work Start TimeStamp]]-Table6[[#This Row],[Fault Start TimeStamp]])*24)</f>
        <v>0</v>
      </c>
      <c r="S325" s="367">
        <f>(Table6[[#This Row],[Fault Clearance time]]-Table6[[#This Row],[Work Start TimeStamp]])*24</f>
        <v>1.8333333333333348</v>
      </c>
      <c r="T325" s="368">
        <f>(Table6[[#This Row],[Fault Clearance time]]-Table6[[#This Row],[Fault Start TimeStamp]])*24</f>
        <v>1.8333333333333348</v>
      </c>
      <c r="U325" s="364" t="s">
        <v>551</v>
      </c>
      <c r="V325" s="369" t="s">
        <v>463</v>
      </c>
      <c r="W325" s="354">
        <f>Table6[[#This Row],[Breakdown Time]]*(1/39)</f>
        <v>4.7008547008547043E-2</v>
      </c>
      <c r="X325" s="352" t="s">
        <v>464</v>
      </c>
      <c r="Y325" s="370" t="s">
        <v>121</v>
      </c>
      <c r="Z325" s="121">
        <v>15190</v>
      </c>
      <c r="AA325" s="123">
        <v>1160.3472222222231</v>
      </c>
      <c r="AB325" s="121" t="s">
        <v>478</v>
      </c>
    </row>
    <row r="326" spans="1:28">
      <c r="A326" s="121">
        <f t="shared" si="5"/>
        <v>325</v>
      </c>
      <c r="B326" s="123">
        <f>YEAR(Table6[[#This Row],[Date]])+IF(MONTH(Table6[[#This Row],[Date]])&gt;=4,1,0)</f>
        <v>2026</v>
      </c>
      <c r="C326" s="121">
        <f>YEAR(Table6[[#This Row],[Date]])</f>
        <v>2025</v>
      </c>
      <c r="D326" s="121" t="s">
        <v>490</v>
      </c>
      <c r="E326" s="135">
        <f>Table6[[#This Row],[Date]]-DAY(Table6[[#This Row],[Date]])+1</f>
        <v>45748</v>
      </c>
      <c r="F326" s="134">
        <v>45764</v>
      </c>
      <c r="G326" s="121" t="s">
        <v>116</v>
      </c>
      <c r="H326" s="39" t="str">
        <f>_xlfn.XLOOKUP(Table6[[#This Row],[Affected WTG]],'Basic Data'!$A:$A,'Basic Data'!$B:$B)</f>
        <v>PWEGPL</v>
      </c>
      <c r="I326" s="39" t="str">
        <f>_xlfn.XLOOKUP(Table6[[#This Row],[Affected WTG]],'Basic Data'!$A:$A,'Basic Data'!$C:$C)</f>
        <v>MSEDCL</v>
      </c>
      <c r="J326" s="363">
        <f>IFERROR(VLOOKUP(Table6[[#This Row],[Affected WTG]],'Basic Data'!$A$3:$E$56,5,0),"")</f>
        <v>2.564102564102564E-2</v>
      </c>
      <c r="K326" s="121">
        <v>502</v>
      </c>
      <c r="L326" s="39" t="str">
        <f>IFERROR(VLOOKUP(Table6[[#This Row],[Error Code]],'Basic Data'!$T:$U,2,0),"")</f>
        <v>Generator NDE Bearing High Temperature Alarm</v>
      </c>
      <c r="M326" s="364" t="s">
        <v>462</v>
      </c>
      <c r="O326" s="365">
        <v>0.17777777777777778</v>
      </c>
      <c r="P326" s="365">
        <v>0.21527777777777779</v>
      </c>
      <c r="Q326" s="365">
        <v>0.21666666666666667</v>
      </c>
      <c r="R326" s="366">
        <f>IF(Table6[[#This Row],[Work Start TimeStamp]]="","",(Table6[[#This Row],[Work Start TimeStamp]]-Table6[[#This Row],[Fault Start TimeStamp]])*24)</f>
        <v>0.90000000000000013</v>
      </c>
      <c r="S326" s="367">
        <f>(Table6[[#This Row],[Fault Clearance time]]-Table6[[#This Row],[Work Start TimeStamp]])*24</f>
        <v>3.3333333333333215E-2</v>
      </c>
      <c r="T326" s="368">
        <f>(Table6[[#This Row],[Fault Clearance time]]-Table6[[#This Row],[Fault Start TimeStamp]])*24</f>
        <v>0.93333333333333335</v>
      </c>
      <c r="U326" s="364" t="s">
        <v>491</v>
      </c>
      <c r="V326" s="369" t="s">
        <v>463</v>
      </c>
      <c r="W326" s="354">
        <f>Table6[[#This Row],[Breakdown Time]]*(1/39)</f>
        <v>2.393162393162393E-2</v>
      </c>
      <c r="X326" s="352" t="s">
        <v>465</v>
      </c>
      <c r="Y326" s="370" t="s">
        <v>118</v>
      </c>
      <c r="Z326" s="121">
        <v>16584</v>
      </c>
      <c r="AA326" s="123">
        <v>644.93333333333339</v>
      </c>
      <c r="AB326" s="121" t="s">
        <v>478</v>
      </c>
    </row>
    <row r="327" spans="1:28">
      <c r="A327" s="121">
        <f t="shared" si="5"/>
        <v>326</v>
      </c>
      <c r="B327" s="123">
        <f>YEAR(Table6[[#This Row],[Date]])+IF(MONTH(Table6[[#This Row],[Date]])&gt;=4,1,0)</f>
        <v>2026</v>
      </c>
      <c r="C327" s="121">
        <f>YEAR(Table6[[#This Row],[Date]])</f>
        <v>2025</v>
      </c>
      <c r="D327" s="121" t="s">
        <v>490</v>
      </c>
      <c r="E327" s="135">
        <f>Table6[[#This Row],[Date]]-DAY(Table6[[#This Row],[Date]])+1</f>
        <v>45748</v>
      </c>
      <c r="F327" s="134">
        <v>45764</v>
      </c>
      <c r="G327" s="121" t="s">
        <v>116</v>
      </c>
      <c r="H327" s="39" t="str">
        <f>_xlfn.XLOOKUP(Table6[[#This Row],[Affected WTG]],'Basic Data'!$A:$A,'Basic Data'!$B:$B)</f>
        <v>PWEGPL</v>
      </c>
      <c r="I327" s="39" t="str">
        <f>_xlfn.XLOOKUP(Table6[[#This Row],[Affected WTG]],'Basic Data'!$A:$A,'Basic Data'!$C:$C)</f>
        <v>MSEDCL</v>
      </c>
      <c r="J327" s="363">
        <f>IFERROR(VLOOKUP(Table6[[#This Row],[Affected WTG]],'Basic Data'!$A$3:$E$56,5,0),"")</f>
        <v>2.564102564102564E-2</v>
      </c>
      <c r="K327" s="121" t="s">
        <v>466</v>
      </c>
      <c r="L327" s="39" t="str">
        <f>IFERROR(VLOOKUP(Table6[[#This Row],[Error Code]],'Basic Data'!$T:$U,2,0),"")</f>
        <v>Manual Stop</v>
      </c>
      <c r="M327" s="364" t="s">
        <v>479</v>
      </c>
      <c r="O327" s="365">
        <v>0.55694444444444446</v>
      </c>
      <c r="P327" s="365">
        <v>0.55694444444444446</v>
      </c>
      <c r="Q327" s="365">
        <v>0.60763888888888884</v>
      </c>
      <c r="R327" s="366">
        <f>IF(Table6[[#This Row],[Work Start TimeStamp]]="","",(Table6[[#This Row],[Work Start TimeStamp]]-Table6[[#This Row],[Fault Start TimeStamp]])*24)</f>
        <v>0</v>
      </c>
      <c r="S327" s="367">
        <f>(Table6[[#This Row],[Fault Clearance time]]-Table6[[#This Row],[Work Start TimeStamp]])*24</f>
        <v>1.216666666666665</v>
      </c>
      <c r="T327" s="368">
        <f>(Table6[[#This Row],[Fault Clearance time]]-Table6[[#This Row],[Fault Start TimeStamp]])*24</f>
        <v>1.216666666666665</v>
      </c>
      <c r="U327" s="364" t="s">
        <v>552</v>
      </c>
      <c r="V327" s="369" t="s">
        <v>463</v>
      </c>
      <c r="W327" s="354">
        <f>Table6[[#This Row],[Breakdown Time]]*(1/39)</f>
        <v>3.1196581196581152E-2</v>
      </c>
      <c r="X327" s="352" t="s">
        <v>464</v>
      </c>
      <c r="Y327" s="370" t="s">
        <v>118</v>
      </c>
      <c r="Z327" s="121">
        <v>16584</v>
      </c>
      <c r="AA327" s="123">
        <v>840.71666666666556</v>
      </c>
      <c r="AB327" s="121" t="s">
        <v>478</v>
      </c>
    </row>
    <row r="328" spans="1:28">
      <c r="A328" s="121">
        <f t="shared" si="5"/>
        <v>327</v>
      </c>
      <c r="B328" s="123">
        <f>YEAR(Table6[[#This Row],[Date]])+IF(MONTH(Table6[[#This Row],[Date]])&gt;=4,1,0)</f>
        <v>2026</v>
      </c>
      <c r="C328" s="121">
        <f>YEAR(Table6[[#This Row],[Date]])</f>
        <v>2025</v>
      </c>
      <c r="D328" s="121" t="s">
        <v>490</v>
      </c>
      <c r="E328" s="135">
        <f>Table6[[#This Row],[Date]]-DAY(Table6[[#This Row],[Date]])+1</f>
        <v>45748</v>
      </c>
      <c r="F328" s="134">
        <v>45764</v>
      </c>
      <c r="G328" s="121" t="s">
        <v>121</v>
      </c>
      <c r="H328" s="39" t="str">
        <f>_xlfn.XLOOKUP(Table6[[#This Row],[Affected WTG]],'Basic Data'!$A:$A,'Basic Data'!$B:$B)</f>
        <v>PWEGPL</v>
      </c>
      <c r="I328" s="39" t="str">
        <f>_xlfn.XLOOKUP(Table6[[#This Row],[Affected WTG]],'Basic Data'!$A:$A,'Basic Data'!$C:$C)</f>
        <v>MSEDCL</v>
      </c>
      <c r="J328" s="363">
        <f>IFERROR(VLOOKUP(Table6[[#This Row],[Affected WTG]],'Basic Data'!$A$3:$E$56,5,0),"")</f>
        <v>2.564102564102564E-2</v>
      </c>
      <c r="K328" s="121">
        <v>403</v>
      </c>
      <c r="L328" s="39" t="str">
        <f>IFERROR(VLOOKUP(Table6[[#This Row],[Error Code]],'Basic Data'!$T:$U,2,0),"")</f>
        <v>High Gearbox Oil Temperature</v>
      </c>
      <c r="M328" s="364" t="s">
        <v>462</v>
      </c>
      <c r="O328" s="365">
        <v>0.1423611111111111</v>
      </c>
      <c r="P328" s="365">
        <v>0.16805555555555557</v>
      </c>
      <c r="Q328" s="365">
        <v>0.1701388888888889</v>
      </c>
      <c r="R328" s="366">
        <f>IF(Table6[[#This Row],[Work Start TimeStamp]]="","",(Table6[[#This Row],[Work Start TimeStamp]]-Table6[[#This Row],[Fault Start TimeStamp]])*24)</f>
        <v>0.61666666666666714</v>
      </c>
      <c r="S328" s="367">
        <f>(Table6[[#This Row],[Fault Clearance time]]-Table6[[#This Row],[Work Start TimeStamp]])*24</f>
        <v>4.9999999999999822E-2</v>
      </c>
      <c r="T328" s="368">
        <f>(Table6[[#This Row],[Fault Clearance time]]-Table6[[#This Row],[Fault Start TimeStamp]])*24</f>
        <v>0.66666666666666696</v>
      </c>
      <c r="U328" s="364" t="s">
        <v>491</v>
      </c>
      <c r="V328" s="369" t="s">
        <v>463</v>
      </c>
      <c r="W328" s="354">
        <f>Table6[[#This Row],[Breakdown Time]]*(1/39)</f>
        <v>1.7094017094017103E-2</v>
      </c>
      <c r="X328" s="352" t="s">
        <v>465</v>
      </c>
      <c r="Y328" s="370" t="s">
        <v>115</v>
      </c>
      <c r="Z328" s="121">
        <v>15153</v>
      </c>
      <c r="AA328" s="123">
        <v>420.91666666666686</v>
      </c>
      <c r="AB328" s="121" t="s">
        <v>478</v>
      </c>
    </row>
    <row r="329" spans="1:28">
      <c r="A329" s="121">
        <f t="shared" si="5"/>
        <v>328</v>
      </c>
      <c r="B329" s="123">
        <f>YEAR(Table6[[#This Row],[Date]])+IF(MONTH(Table6[[#This Row],[Date]])&gt;=4,1,0)</f>
        <v>2026</v>
      </c>
      <c r="C329" s="121">
        <f>YEAR(Table6[[#This Row],[Date]])</f>
        <v>2025</v>
      </c>
      <c r="D329" s="121" t="s">
        <v>490</v>
      </c>
      <c r="E329" s="135">
        <f>Table6[[#This Row],[Date]]-DAY(Table6[[#This Row],[Date]])+1</f>
        <v>45748</v>
      </c>
      <c r="F329" s="134">
        <v>45764</v>
      </c>
      <c r="G329" s="121" t="s">
        <v>121</v>
      </c>
      <c r="H329" s="39" t="str">
        <f>_xlfn.XLOOKUP(Table6[[#This Row],[Affected WTG]],'Basic Data'!$A:$A,'Basic Data'!$B:$B)</f>
        <v>PWEGPL</v>
      </c>
      <c r="I329" s="39" t="str">
        <f>_xlfn.XLOOKUP(Table6[[#This Row],[Affected WTG]],'Basic Data'!$A:$A,'Basic Data'!$C:$C)</f>
        <v>MSEDCL</v>
      </c>
      <c r="J329" s="363">
        <f>IFERROR(VLOOKUP(Table6[[#This Row],[Affected WTG]],'Basic Data'!$A$3:$E$56,5,0),"")</f>
        <v>2.564102564102564E-2</v>
      </c>
      <c r="K329" s="121" t="s">
        <v>466</v>
      </c>
      <c r="L329" s="39" t="str">
        <f>IFERROR(VLOOKUP(Table6[[#This Row],[Error Code]],'Basic Data'!$T:$U,2,0),"")</f>
        <v>Manual Stop</v>
      </c>
      <c r="M329" s="364" t="s">
        <v>479</v>
      </c>
      <c r="O329" s="365">
        <v>0.47152777777777777</v>
      </c>
      <c r="P329" s="365">
        <v>0.47152777777777777</v>
      </c>
      <c r="Q329" s="365">
        <v>0.54583333333333328</v>
      </c>
      <c r="R329" s="366">
        <f>IF(Table6[[#This Row],[Work Start TimeStamp]]="","",(Table6[[#This Row],[Work Start TimeStamp]]-Table6[[#This Row],[Fault Start TimeStamp]])*24)</f>
        <v>0</v>
      </c>
      <c r="S329" s="367">
        <f>(Table6[[#This Row],[Fault Clearance time]]-Table6[[#This Row],[Work Start TimeStamp]])*24</f>
        <v>1.7833333333333323</v>
      </c>
      <c r="T329" s="368">
        <f>(Table6[[#This Row],[Fault Clearance time]]-Table6[[#This Row],[Fault Start TimeStamp]])*24</f>
        <v>1.7833333333333323</v>
      </c>
      <c r="U329" s="364" t="s">
        <v>553</v>
      </c>
      <c r="V329" s="369" t="s">
        <v>463</v>
      </c>
      <c r="W329" s="354">
        <f>Table6[[#This Row],[Breakdown Time]]*(1/39)</f>
        <v>4.5726495726495696E-2</v>
      </c>
      <c r="X329" s="352" t="s">
        <v>464</v>
      </c>
      <c r="Y329" s="370" t="s">
        <v>115</v>
      </c>
      <c r="Z329" s="121">
        <v>15153</v>
      </c>
      <c r="AA329" s="123">
        <v>1125.9520833333327</v>
      </c>
      <c r="AB329" s="121" t="s">
        <v>478</v>
      </c>
    </row>
    <row r="330" spans="1:28">
      <c r="A330" s="121">
        <f t="shared" si="5"/>
        <v>329</v>
      </c>
      <c r="B330" s="123">
        <f>YEAR(Table6[[#This Row],[Date]])+IF(MONTH(Table6[[#This Row],[Date]])&gt;=4,1,0)</f>
        <v>2026</v>
      </c>
      <c r="C330" s="121">
        <f>YEAR(Table6[[#This Row],[Date]])</f>
        <v>2025</v>
      </c>
      <c r="D330" s="121" t="s">
        <v>490</v>
      </c>
      <c r="E330" s="135">
        <f>Table6[[#This Row],[Date]]-DAY(Table6[[#This Row],[Date]])+1</f>
        <v>45748</v>
      </c>
      <c r="F330" s="134">
        <v>45764</v>
      </c>
      <c r="G330" s="121" t="s">
        <v>123</v>
      </c>
      <c r="H330" s="39" t="str">
        <f>_xlfn.XLOOKUP(Table6[[#This Row],[Affected WTG]],'Basic Data'!$A:$A,'Basic Data'!$B:$B)</f>
        <v>PWEGPL</v>
      </c>
      <c r="I330" s="39" t="str">
        <f>_xlfn.XLOOKUP(Table6[[#This Row],[Affected WTG]],'Basic Data'!$A:$A,'Basic Data'!$C:$C)</f>
        <v>MSEDCL</v>
      </c>
      <c r="J330" s="363">
        <f>IFERROR(VLOOKUP(Table6[[#This Row],[Affected WTG]],'Basic Data'!$A$3:$E$56,5,0),"")</f>
        <v>2.564102564102564E-2</v>
      </c>
      <c r="K330" s="121">
        <v>416</v>
      </c>
      <c r="L330" s="39" t="str">
        <f>IFERROR(VLOOKUP(Table6[[#This Row],[Error Code]],'Basic Data'!$T:$U,2,0),"")</f>
        <v>Vibration Sensor</v>
      </c>
      <c r="M330" s="364" t="s">
        <v>462</v>
      </c>
      <c r="O330" s="365">
        <v>0.32291666666666669</v>
      </c>
      <c r="P330" s="365">
        <v>0.3923611111111111</v>
      </c>
      <c r="Q330" s="365">
        <v>0.39305555555555555</v>
      </c>
      <c r="R330" s="366">
        <f>IF(Table6[[#This Row],[Work Start TimeStamp]]="","",(Table6[[#This Row],[Work Start TimeStamp]]-Table6[[#This Row],[Fault Start TimeStamp]])*24)</f>
        <v>1.6666666666666661</v>
      </c>
      <c r="S330" s="367">
        <f>(Table6[[#This Row],[Fault Clearance time]]-Table6[[#This Row],[Work Start TimeStamp]])*24</f>
        <v>1.6666666666666607E-2</v>
      </c>
      <c r="T330" s="368">
        <f>(Table6[[#This Row],[Fault Clearance time]]-Table6[[#This Row],[Fault Start TimeStamp]])*24</f>
        <v>1.6833333333333327</v>
      </c>
      <c r="U330" s="364" t="s">
        <v>493</v>
      </c>
      <c r="V330" s="369" t="s">
        <v>463</v>
      </c>
      <c r="W330" s="354">
        <f>Table6[[#This Row],[Breakdown Time]]*(1/39)</f>
        <v>4.3162393162393141E-2</v>
      </c>
      <c r="X330" s="352" t="s">
        <v>465</v>
      </c>
      <c r="Y330" s="370" t="s">
        <v>126</v>
      </c>
      <c r="Z330" s="121">
        <v>14923</v>
      </c>
      <c r="AA330" s="123">
        <v>1046.6826388888885</v>
      </c>
      <c r="AB330" s="121" t="s">
        <v>478</v>
      </c>
    </row>
    <row r="331" spans="1:28">
      <c r="A331" s="121">
        <f t="shared" si="5"/>
        <v>330</v>
      </c>
      <c r="B331" s="123">
        <f>YEAR(Table6[[#This Row],[Date]])+IF(MONTH(Table6[[#This Row],[Date]])&gt;=4,1,0)</f>
        <v>2026</v>
      </c>
      <c r="C331" s="121">
        <f>YEAR(Table6[[#This Row],[Date]])</f>
        <v>2025</v>
      </c>
      <c r="D331" s="121" t="s">
        <v>490</v>
      </c>
      <c r="E331" s="135">
        <f>Table6[[#This Row],[Date]]-DAY(Table6[[#This Row],[Date]])+1</f>
        <v>45748</v>
      </c>
      <c r="F331" s="134">
        <v>45764</v>
      </c>
      <c r="G331" s="121" t="s">
        <v>152</v>
      </c>
      <c r="H331" s="39" t="str">
        <f>_xlfn.XLOOKUP(Table6[[#This Row],[Affected WTG]],'Basic Data'!$A:$A,'Basic Data'!$B:$B)</f>
        <v>PWEGPL</v>
      </c>
      <c r="I331" s="39" t="str">
        <f>_xlfn.XLOOKUP(Table6[[#This Row],[Affected WTG]],'Basic Data'!$A:$A,'Basic Data'!$C:$C)</f>
        <v>MSEDCL</v>
      </c>
      <c r="J331" s="363">
        <f>IFERROR(VLOOKUP(Table6[[#This Row],[Affected WTG]],'Basic Data'!$A$3:$E$56,5,0),"")</f>
        <v>2.564102564102564E-2</v>
      </c>
      <c r="K331" s="121">
        <v>5200</v>
      </c>
      <c r="L331" s="39" t="str">
        <f>IFERROR(VLOOKUP(Table6[[#This Row],[Error Code]],'Basic Data'!$T:$U,2,0),"")</f>
        <v>Magnetothermic Trigger Of The Line Protection</v>
      </c>
      <c r="M331" s="364" t="s">
        <v>462</v>
      </c>
      <c r="O331" s="365">
        <v>0.36458333333333331</v>
      </c>
      <c r="P331" s="365">
        <v>0.40833333333333333</v>
      </c>
      <c r="Q331" s="365">
        <v>0.40972222222222221</v>
      </c>
      <c r="R331" s="366">
        <f>IF(Table6[[#This Row],[Work Start TimeStamp]]="","",(Table6[[#This Row],[Work Start TimeStamp]]-Table6[[#This Row],[Fault Start TimeStamp]])*24)</f>
        <v>1.0500000000000003</v>
      </c>
      <c r="S331" s="367">
        <f>(Table6[[#This Row],[Fault Clearance time]]-Table6[[#This Row],[Work Start TimeStamp]])*24</f>
        <v>3.3333333333333215E-2</v>
      </c>
      <c r="T331" s="368">
        <f>(Table6[[#This Row],[Fault Clearance time]]-Table6[[#This Row],[Fault Start TimeStamp]])*24</f>
        <v>1.0833333333333335</v>
      </c>
      <c r="U331" s="364" t="s">
        <v>491</v>
      </c>
      <c r="V331" s="369" t="s">
        <v>463</v>
      </c>
      <c r="W331" s="354">
        <f>Table6[[#This Row],[Breakdown Time]]*(1/39)</f>
        <v>2.777777777777778E-2</v>
      </c>
      <c r="X331" s="352" t="s">
        <v>465</v>
      </c>
      <c r="Y331" s="370" t="s">
        <v>153</v>
      </c>
      <c r="Z331" s="121">
        <v>12574</v>
      </c>
      <c r="AA331" s="123">
        <v>567.57638888888891</v>
      </c>
      <c r="AB331" s="121" t="s">
        <v>478</v>
      </c>
    </row>
    <row r="332" spans="1:28">
      <c r="A332" s="121">
        <f t="shared" si="5"/>
        <v>331</v>
      </c>
      <c r="B332" s="123">
        <f>YEAR(Table6[[#This Row],[Date]])+IF(MONTH(Table6[[#This Row],[Date]])&gt;=4,1,0)</f>
        <v>2026</v>
      </c>
      <c r="C332" s="121">
        <f>YEAR(Table6[[#This Row],[Date]])</f>
        <v>2025</v>
      </c>
      <c r="D332" s="121" t="s">
        <v>490</v>
      </c>
      <c r="E332" s="135">
        <f>Table6[[#This Row],[Date]]-DAY(Table6[[#This Row],[Date]])+1</f>
        <v>45748</v>
      </c>
      <c r="F332" s="134">
        <v>45765</v>
      </c>
      <c r="G332" s="121" t="s">
        <v>144</v>
      </c>
      <c r="H332" s="39" t="str">
        <f>_xlfn.XLOOKUP(Table6[[#This Row],[Affected WTG]],'Basic Data'!$A:$A,'Basic Data'!$B:$B)</f>
        <v>PWEGPL</v>
      </c>
      <c r="I332" s="39" t="str">
        <f>_xlfn.XLOOKUP(Table6[[#This Row],[Affected WTG]],'Basic Data'!$A:$A,'Basic Data'!$C:$C)</f>
        <v>MSEDCL</v>
      </c>
      <c r="J332" s="363">
        <f>IFERROR(VLOOKUP(Table6[[#This Row],[Affected WTG]],'Basic Data'!$A$3:$E$56,5,0),"")</f>
        <v>2.564102564102564E-2</v>
      </c>
      <c r="K332" s="121" t="s">
        <v>492</v>
      </c>
      <c r="L332" s="39" t="str">
        <f>IFERROR(VLOOKUP(Table6[[#This Row],[Error Code]],'Basic Data'!$T:$U,2,0),"")</f>
        <v>Manual Stop - Safety Related</v>
      </c>
      <c r="M332" s="364" t="s">
        <v>481</v>
      </c>
      <c r="O332" s="365">
        <v>0</v>
      </c>
      <c r="P332" s="365">
        <v>0.99930555555555556</v>
      </c>
      <c r="Q332" s="365">
        <v>0.99930555555555556</v>
      </c>
      <c r="R332" s="366">
        <f>IF(Table6[[#This Row],[Work Start TimeStamp]]="","",(Table6[[#This Row],[Work Start TimeStamp]]-Table6[[#This Row],[Fault Start TimeStamp]])*24)</f>
        <v>23.983333333333334</v>
      </c>
      <c r="S332" s="367">
        <f>(Table6[[#This Row],[Fault Clearance time]]-Table6[[#This Row],[Work Start TimeStamp]])*24</f>
        <v>0</v>
      </c>
      <c r="T332" s="368">
        <f>(Table6[[#This Row],[Fault Clearance time]]-Table6[[#This Row],[Fault Start TimeStamp]])*24</f>
        <v>23.983333333333334</v>
      </c>
      <c r="U332" s="364" t="s">
        <v>498</v>
      </c>
      <c r="V332" s="369" t="s">
        <v>473</v>
      </c>
      <c r="W332" s="354">
        <f>Table6[[#This Row],[Breakdown Time]]*(1/39)</f>
        <v>0.61495726495726499</v>
      </c>
      <c r="X332" s="352" t="s">
        <v>468</v>
      </c>
      <c r="Y332" s="370" t="s">
        <v>141</v>
      </c>
      <c r="Z332" s="121">
        <v>8824</v>
      </c>
      <c r="AA332" s="123">
        <v>8817.8722222222223</v>
      </c>
      <c r="AB332" s="121" t="s">
        <v>478</v>
      </c>
    </row>
    <row r="333" spans="1:28">
      <c r="A333" s="121">
        <f t="shared" si="5"/>
        <v>332</v>
      </c>
      <c r="B333" s="123">
        <f>YEAR(Table6[[#This Row],[Date]])+IF(MONTH(Table6[[#This Row],[Date]])&gt;=4,1,0)</f>
        <v>2026</v>
      </c>
      <c r="C333" s="121">
        <f>YEAR(Table6[[#This Row],[Date]])</f>
        <v>2025</v>
      </c>
      <c r="D333" s="121" t="s">
        <v>490</v>
      </c>
      <c r="E333" s="135">
        <f>Table6[[#This Row],[Date]]-DAY(Table6[[#This Row],[Date]])+1</f>
        <v>45748</v>
      </c>
      <c r="F333" s="134">
        <v>45765</v>
      </c>
      <c r="G333" s="121" t="s">
        <v>142</v>
      </c>
      <c r="H333" s="39" t="str">
        <f>_xlfn.XLOOKUP(Table6[[#This Row],[Affected WTG]],'Basic Data'!$A:$A,'Basic Data'!$B:$B)</f>
        <v>PWEGPL</v>
      </c>
      <c r="I333" s="39" t="str">
        <f>_xlfn.XLOOKUP(Table6[[#This Row],[Affected WTG]],'Basic Data'!$A:$A,'Basic Data'!$C:$C)</f>
        <v>MSEDCL</v>
      </c>
      <c r="J333" s="363">
        <f>IFERROR(VLOOKUP(Table6[[#This Row],[Affected WTG]],'Basic Data'!$A$3:$E$56,5,0),"")</f>
        <v>2.564102564102564E-2</v>
      </c>
      <c r="K333" s="121" t="s">
        <v>492</v>
      </c>
      <c r="L333" s="39" t="str">
        <f>IFERROR(VLOOKUP(Table6[[#This Row],[Error Code]],'Basic Data'!$T:$U,2,0),"")</f>
        <v>Manual Stop - Safety Related</v>
      </c>
      <c r="M333" s="364" t="s">
        <v>481</v>
      </c>
      <c r="O333" s="365">
        <v>0</v>
      </c>
      <c r="P333" s="365">
        <v>0.99930555555555556</v>
      </c>
      <c r="Q333" s="365">
        <v>0.99930555555555556</v>
      </c>
      <c r="R333" s="366">
        <f>IF(Table6[[#This Row],[Work Start TimeStamp]]="","",(Table6[[#This Row],[Work Start TimeStamp]]-Table6[[#This Row],[Fault Start TimeStamp]])*24)</f>
        <v>23.983333333333334</v>
      </c>
      <c r="S333" s="367">
        <f>(Table6[[#This Row],[Fault Clearance time]]-Table6[[#This Row],[Work Start TimeStamp]])*24</f>
        <v>0</v>
      </c>
      <c r="T333" s="368">
        <f>(Table6[[#This Row],[Fault Clearance time]]-Table6[[#This Row],[Fault Start TimeStamp]])*24</f>
        <v>23.983333333333334</v>
      </c>
      <c r="U333" s="364" t="s">
        <v>498</v>
      </c>
      <c r="V333" s="369" t="s">
        <v>473</v>
      </c>
      <c r="W333" s="354">
        <f>Table6[[#This Row],[Breakdown Time]]*(1/39)</f>
        <v>0.61495726495726499</v>
      </c>
      <c r="X333" s="352" t="s">
        <v>468</v>
      </c>
      <c r="Y333" s="370" t="s">
        <v>141</v>
      </c>
      <c r="Z333" s="121">
        <v>8824</v>
      </c>
      <c r="AA333" s="123">
        <v>8817.8722222222223</v>
      </c>
      <c r="AB333" s="121" t="s">
        <v>478</v>
      </c>
    </row>
    <row r="334" spans="1:28">
      <c r="A334" s="121">
        <f t="shared" si="5"/>
        <v>333</v>
      </c>
      <c r="B334" s="123">
        <f>YEAR(Table6[[#This Row],[Date]])+IF(MONTH(Table6[[#This Row],[Date]])&gt;=4,1,0)</f>
        <v>2026</v>
      </c>
      <c r="C334" s="121">
        <f>YEAR(Table6[[#This Row],[Date]])</f>
        <v>2025</v>
      </c>
      <c r="D334" s="121" t="s">
        <v>490</v>
      </c>
      <c r="E334" s="135">
        <f>Table6[[#This Row],[Date]]-DAY(Table6[[#This Row],[Date]])+1</f>
        <v>45748</v>
      </c>
      <c r="F334" s="134">
        <v>45765</v>
      </c>
      <c r="G334" s="121" t="s">
        <v>137</v>
      </c>
      <c r="H334" s="39" t="str">
        <f>_xlfn.XLOOKUP(Table6[[#This Row],[Affected WTG]],'Basic Data'!$A:$A,'Basic Data'!$B:$B)</f>
        <v>PWEGPL</v>
      </c>
      <c r="I334" s="39" t="str">
        <f>_xlfn.XLOOKUP(Table6[[#This Row],[Affected WTG]],'Basic Data'!$A:$A,'Basic Data'!$C:$C)</f>
        <v>MSEDCL</v>
      </c>
      <c r="J334" s="363">
        <f>IFERROR(VLOOKUP(Table6[[#This Row],[Affected WTG]],'Basic Data'!$A$3:$E$56,5,0),"")</f>
        <v>2.564102564102564E-2</v>
      </c>
      <c r="K334" s="121">
        <v>2106</v>
      </c>
      <c r="L334" s="39" t="str">
        <f>IFERROR(VLOOKUP(Table6[[#This Row],[Error Code]],'Basic Data'!$T:$U,2,0),"")</f>
        <v>Temp. Measurement Module Failure</v>
      </c>
      <c r="M334" s="364" t="s">
        <v>462</v>
      </c>
      <c r="O334" s="365">
        <v>0.39930555555555558</v>
      </c>
      <c r="P334" s="365">
        <v>0.39930555555555558</v>
      </c>
      <c r="Q334" s="365">
        <v>0.40277777777777779</v>
      </c>
      <c r="R334" s="366">
        <f>IF(Table6[[#This Row],[Work Start TimeStamp]]="","",(Table6[[#This Row],[Work Start TimeStamp]]-Table6[[#This Row],[Fault Start TimeStamp]])*24)</f>
        <v>0</v>
      </c>
      <c r="S334" s="367">
        <f>(Table6[[#This Row],[Fault Clearance time]]-Table6[[#This Row],[Work Start TimeStamp]])*24</f>
        <v>8.3333333333333037E-2</v>
      </c>
      <c r="T334" s="368">
        <f>(Table6[[#This Row],[Fault Clearance time]]-Table6[[#This Row],[Fault Start TimeStamp]])*24</f>
        <v>8.3333333333333037E-2</v>
      </c>
      <c r="U334" s="364" t="s">
        <v>480</v>
      </c>
      <c r="V334" s="369" t="s">
        <v>463</v>
      </c>
      <c r="W334" s="354">
        <f>Table6[[#This Row],[Breakdown Time]]*(1/39)</f>
        <v>2.1367521367521292E-3</v>
      </c>
      <c r="X334" s="352" t="s">
        <v>465</v>
      </c>
      <c r="Y334" s="370" t="s">
        <v>136</v>
      </c>
      <c r="Z334" s="121">
        <v>8858</v>
      </c>
      <c r="AA334" s="123">
        <v>30.756944444444333</v>
      </c>
      <c r="AB334" s="121" t="s">
        <v>478</v>
      </c>
    </row>
    <row r="335" spans="1:28">
      <c r="A335" s="121">
        <f t="shared" si="5"/>
        <v>334</v>
      </c>
      <c r="B335" s="123">
        <f>YEAR(Table6[[#This Row],[Date]])+IF(MONTH(Table6[[#This Row],[Date]])&gt;=4,1,0)</f>
        <v>2026</v>
      </c>
      <c r="C335" s="121">
        <f>YEAR(Table6[[#This Row],[Date]])</f>
        <v>2025</v>
      </c>
      <c r="D335" s="121" t="s">
        <v>490</v>
      </c>
      <c r="E335" s="135">
        <f>Table6[[#This Row],[Date]]-DAY(Table6[[#This Row],[Date]])+1</f>
        <v>45748</v>
      </c>
      <c r="F335" s="134">
        <v>45765</v>
      </c>
      <c r="G335" s="121" t="s">
        <v>137</v>
      </c>
      <c r="H335" s="39" t="str">
        <f>_xlfn.XLOOKUP(Table6[[#This Row],[Affected WTG]],'Basic Data'!$A:$A,'Basic Data'!$B:$B)</f>
        <v>PWEGPL</v>
      </c>
      <c r="I335" s="39" t="str">
        <f>_xlfn.XLOOKUP(Table6[[#This Row],[Affected WTG]],'Basic Data'!$A:$A,'Basic Data'!$C:$C)</f>
        <v>MSEDCL</v>
      </c>
      <c r="J335" s="363">
        <f>IFERROR(VLOOKUP(Table6[[#This Row],[Affected WTG]],'Basic Data'!$A$3:$E$56,5,0),"")</f>
        <v>2.564102564102564E-2</v>
      </c>
      <c r="K335" s="121">
        <v>2106</v>
      </c>
      <c r="L335" s="39" t="str">
        <f>IFERROR(VLOOKUP(Table6[[#This Row],[Error Code]],'Basic Data'!$T:$U,2,0),"")</f>
        <v>Temp. Measurement Module Failure</v>
      </c>
      <c r="M335" s="364" t="s">
        <v>462</v>
      </c>
      <c r="O335" s="365">
        <v>0.42499999999999999</v>
      </c>
      <c r="P335" s="365">
        <v>0.42499999999999999</v>
      </c>
      <c r="Q335" s="365">
        <v>0.4284722222222222</v>
      </c>
      <c r="R335" s="366">
        <f>IF(Table6[[#This Row],[Work Start TimeStamp]]="","",(Table6[[#This Row],[Work Start TimeStamp]]-Table6[[#This Row],[Fault Start TimeStamp]])*24)</f>
        <v>0</v>
      </c>
      <c r="S335" s="367">
        <f>(Table6[[#This Row],[Fault Clearance time]]-Table6[[#This Row],[Work Start TimeStamp]])*24</f>
        <v>8.3333333333333037E-2</v>
      </c>
      <c r="T335" s="368">
        <f>(Table6[[#This Row],[Fault Clearance time]]-Table6[[#This Row],[Fault Start TimeStamp]])*24</f>
        <v>8.3333333333333037E-2</v>
      </c>
      <c r="U335" s="364" t="s">
        <v>480</v>
      </c>
      <c r="V335" s="369" t="s">
        <v>463</v>
      </c>
      <c r="W335" s="354">
        <f>Table6[[#This Row],[Breakdown Time]]*(1/39)</f>
        <v>2.1367521367521292E-3</v>
      </c>
      <c r="X335" s="352" t="s">
        <v>465</v>
      </c>
      <c r="Y335" s="370" t="s">
        <v>136</v>
      </c>
      <c r="Z335" s="121">
        <v>8858</v>
      </c>
      <c r="AA335" s="123">
        <v>30.756944444444333</v>
      </c>
      <c r="AB335" s="121" t="s">
        <v>478</v>
      </c>
    </row>
    <row r="336" spans="1:28">
      <c r="A336" s="121">
        <f t="shared" si="5"/>
        <v>335</v>
      </c>
      <c r="B336" s="123">
        <f>YEAR(Table6[[#This Row],[Date]])+IF(MONTH(Table6[[#This Row],[Date]])&gt;=4,1,0)</f>
        <v>2026</v>
      </c>
      <c r="C336" s="121">
        <f>YEAR(Table6[[#This Row],[Date]])</f>
        <v>2025</v>
      </c>
      <c r="D336" s="121" t="s">
        <v>490</v>
      </c>
      <c r="E336" s="135">
        <f>Table6[[#This Row],[Date]]-DAY(Table6[[#This Row],[Date]])+1</f>
        <v>45748</v>
      </c>
      <c r="F336" s="134">
        <v>45765</v>
      </c>
      <c r="G336" s="121" t="s">
        <v>137</v>
      </c>
      <c r="H336" s="39" t="str">
        <f>_xlfn.XLOOKUP(Table6[[#This Row],[Affected WTG]],'Basic Data'!$A:$A,'Basic Data'!$B:$B)</f>
        <v>PWEGPL</v>
      </c>
      <c r="I336" s="39" t="str">
        <f>_xlfn.XLOOKUP(Table6[[#This Row],[Affected WTG]],'Basic Data'!$A:$A,'Basic Data'!$C:$C)</f>
        <v>MSEDCL</v>
      </c>
      <c r="J336" s="363">
        <f>IFERROR(VLOOKUP(Table6[[#This Row],[Affected WTG]],'Basic Data'!$A$3:$E$56,5,0),"")</f>
        <v>2.564102564102564E-2</v>
      </c>
      <c r="K336" s="121">
        <v>2106</v>
      </c>
      <c r="L336" s="39" t="str">
        <f>IFERROR(VLOOKUP(Table6[[#This Row],[Error Code]],'Basic Data'!$T:$U,2,0),"")</f>
        <v>Temp. Measurement Module Failure</v>
      </c>
      <c r="M336" s="364" t="s">
        <v>462</v>
      </c>
      <c r="O336" s="365">
        <v>0.51041666666666663</v>
      </c>
      <c r="P336" s="365">
        <v>0.52222222222222225</v>
      </c>
      <c r="Q336" s="365">
        <v>0.52430555555555558</v>
      </c>
      <c r="R336" s="366">
        <f>IF(Table6[[#This Row],[Work Start TimeStamp]]="","",(Table6[[#This Row],[Work Start TimeStamp]]-Table6[[#This Row],[Fault Start TimeStamp]])*24)</f>
        <v>0.28333333333333499</v>
      </c>
      <c r="S336" s="367">
        <f>(Table6[[#This Row],[Fault Clearance time]]-Table6[[#This Row],[Work Start TimeStamp]])*24</f>
        <v>4.9999999999999822E-2</v>
      </c>
      <c r="T336" s="368">
        <f>(Table6[[#This Row],[Fault Clearance time]]-Table6[[#This Row],[Fault Start TimeStamp]])*24</f>
        <v>0.33333333333333481</v>
      </c>
      <c r="U336" s="364" t="s">
        <v>491</v>
      </c>
      <c r="V336" s="369" t="s">
        <v>463</v>
      </c>
      <c r="W336" s="354">
        <f>Table6[[#This Row],[Breakdown Time]]*(1/39)</f>
        <v>8.5470085470085843E-3</v>
      </c>
      <c r="X336" s="352" t="s">
        <v>465</v>
      </c>
      <c r="Y336" s="370" t="s">
        <v>136</v>
      </c>
      <c r="Z336" s="121">
        <v>8858</v>
      </c>
      <c r="AA336" s="123">
        <v>123.02777777777831</v>
      </c>
      <c r="AB336" s="121" t="s">
        <v>478</v>
      </c>
    </row>
    <row r="337" spans="1:30">
      <c r="A337" s="121">
        <f t="shared" si="5"/>
        <v>336</v>
      </c>
      <c r="B337" s="123">
        <f>YEAR(Table6[[#This Row],[Date]])+IF(MONTH(Table6[[#This Row],[Date]])&gt;=4,1,0)</f>
        <v>2026</v>
      </c>
      <c r="C337" s="121">
        <f>YEAR(Table6[[#This Row],[Date]])</f>
        <v>2025</v>
      </c>
      <c r="D337" s="121" t="s">
        <v>490</v>
      </c>
      <c r="E337" s="135">
        <f>Table6[[#This Row],[Date]]-DAY(Table6[[#This Row],[Date]])+1</f>
        <v>45748</v>
      </c>
      <c r="F337" s="134">
        <v>45765</v>
      </c>
      <c r="G337" s="121" t="s">
        <v>143</v>
      </c>
      <c r="H337" s="39" t="str">
        <f>_xlfn.XLOOKUP(Table6[[#This Row],[Affected WTG]],'Basic Data'!$A:$A,'Basic Data'!$B:$B)</f>
        <v>PWEGPL</v>
      </c>
      <c r="I337" s="39" t="str">
        <f>_xlfn.XLOOKUP(Table6[[#This Row],[Affected WTG]],'Basic Data'!$A:$A,'Basic Data'!$C:$C)</f>
        <v>MSEDCL</v>
      </c>
      <c r="J337" s="363">
        <f>IFERROR(VLOOKUP(Table6[[#This Row],[Affected WTG]],'Basic Data'!$A$3:$E$56,5,0),"")</f>
        <v>2.564102564102564E-2</v>
      </c>
      <c r="K337" s="121">
        <v>426</v>
      </c>
      <c r="L337" s="39" t="str">
        <f>IFERROR(VLOOKUP(Table6[[#This Row],[Error Code]],'Basic Data'!$T:$U,2,0),"")</f>
        <v>Rotor Speed Reading Failure</v>
      </c>
      <c r="M337" s="364" t="s">
        <v>462</v>
      </c>
      <c r="O337" s="365">
        <v>0.46180555555555558</v>
      </c>
      <c r="P337" s="365">
        <v>0.46180555555555558</v>
      </c>
      <c r="Q337" s="365">
        <v>0.49583333333333335</v>
      </c>
      <c r="R337" s="366">
        <f>IF(Table6[[#This Row],[Work Start TimeStamp]]="","",(Table6[[#This Row],[Work Start TimeStamp]]-Table6[[#This Row],[Fault Start TimeStamp]])*24)</f>
        <v>0</v>
      </c>
      <c r="S337" s="367">
        <f>(Table6[[#This Row],[Fault Clearance time]]-Table6[[#This Row],[Work Start TimeStamp]])*24</f>
        <v>0.81666666666666643</v>
      </c>
      <c r="T337" s="368">
        <f>(Table6[[#This Row],[Fault Clearance time]]-Table6[[#This Row],[Fault Start TimeStamp]])*24</f>
        <v>0.81666666666666643</v>
      </c>
      <c r="U337" s="364" t="s">
        <v>554</v>
      </c>
      <c r="V337" s="369" t="s">
        <v>463</v>
      </c>
      <c r="W337" s="354">
        <f>Table6[[#This Row],[Breakdown Time]]*(1/39)</f>
        <v>2.0940170940170932E-2</v>
      </c>
      <c r="X337" s="352" t="s">
        <v>465</v>
      </c>
      <c r="Y337" s="370" t="s">
        <v>141</v>
      </c>
      <c r="Z337" s="121">
        <v>8824</v>
      </c>
      <c r="AA337" s="123">
        <v>300.26111111111106</v>
      </c>
      <c r="AB337" s="121" t="s">
        <v>478</v>
      </c>
    </row>
    <row r="338" spans="1:30">
      <c r="A338" s="121">
        <f t="shared" si="5"/>
        <v>337</v>
      </c>
      <c r="B338" s="123">
        <f>YEAR(Table6[[#This Row],[Date]])+IF(MONTH(Table6[[#This Row],[Date]])&gt;=4,1,0)</f>
        <v>2026</v>
      </c>
      <c r="C338" s="121">
        <f>YEAR(Table6[[#This Row],[Date]])</f>
        <v>2025</v>
      </c>
      <c r="D338" s="121" t="s">
        <v>490</v>
      </c>
      <c r="E338" s="135">
        <f>Table6[[#This Row],[Date]]-DAY(Table6[[#This Row],[Date]])+1</f>
        <v>45748</v>
      </c>
      <c r="F338" s="134">
        <v>45765</v>
      </c>
      <c r="G338" s="121" t="s">
        <v>149</v>
      </c>
      <c r="H338" s="39" t="str">
        <f>_xlfn.XLOOKUP(Table6[[#This Row],[Affected WTG]],'Basic Data'!$A:$A,'Basic Data'!$B:$B)</f>
        <v>PWEGPL</v>
      </c>
      <c r="I338" s="39" t="str">
        <f>_xlfn.XLOOKUP(Table6[[#This Row],[Affected WTG]],'Basic Data'!$A:$A,'Basic Data'!$C:$C)</f>
        <v>MSEDCL</v>
      </c>
      <c r="J338" s="363">
        <f>IFERROR(VLOOKUP(Table6[[#This Row],[Affected WTG]],'Basic Data'!$A$3:$E$56,5,0),"")</f>
        <v>2.564102564102564E-2</v>
      </c>
      <c r="K338" s="121">
        <v>800</v>
      </c>
      <c r="L338" s="39" t="str">
        <f>IFERROR(VLOOKUP(Table6[[#This Row],[Error Code]],'Basic Data'!$T:$U,2,0),"")</f>
        <v>Pitch Drive Error</v>
      </c>
      <c r="M338" s="364" t="s">
        <v>462</v>
      </c>
      <c r="O338" s="365">
        <v>0.40625</v>
      </c>
      <c r="P338" s="365">
        <v>0.49652777777777779</v>
      </c>
      <c r="Q338" s="365">
        <v>0.62847222222222221</v>
      </c>
      <c r="R338" s="366">
        <f>IF(Table6[[#This Row],[Work Start TimeStamp]]="","",(Table6[[#This Row],[Work Start TimeStamp]]-Table6[[#This Row],[Fault Start TimeStamp]])*24)</f>
        <v>2.166666666666667</v>
      </c>
      <c r="S338" s="367">
        <f>(Table6[[#This Row],[Fault Clearance time]]-Table6[[#This Row],[Work Start TimeStamp]])*24</f>
        <v>3.1666666666666661</v>
      </c>
      <c r="T338" s="368">
        <f>(Table6[[#This Row],[Fault Clearance time]]-Table6[[#This Row],[Fault Start TimeStamp]])*24</f>
        <v>5.333333333333333</v>
      </c>
      <c r="U338" s="364" t="s">
        <v>555</v>
      </c>
      <c r="V338" s="369" t="s">
        <v>463</v>
      </c>
      <c r="W338" s="354">
        <f>Table6[[#This Row],[Breakdown Time]]*(1/39)</f>
        <v>0.13675213675213674</v>
      </c>
      <c r="X338" s="352" t="s">
        <v>465</v>
      </c>
      <c r="Y338" s="370" t="s">
        <v>148</v>
      </c>
      <c r="Z338" s="121">
        <v>7963</v>
      </c>
      <c r="AA338" s="123">
        <v>1769.5555555555557</v>
      </c>
      <c r="AB338" s="121" t="s">
        <v>478</v>
      </c>
    </row>
    <row r="339" spans="1:30">
      <c r="A339" s="121">
        <f t="shared" si="5"/>
        <v>338</v>
      </c>
      <c r="B339" s="123">
        <f>YEAR(Table6[[#This Row],[Date]])+IF(MONTH(Table6[[#This Row],[Date]])&gt;=4,1,0)</f>
        <v>2026</v>
      </c>
      <c r="C339" s="121">
        <f>YEAR(Table6[[#This Row],[Date]])</f>
        <v>2025</v>
      </c>
      <c r="D339" s="121" t="s">
        <v>490</v>
      </c>
      <c r="E339" s="135">
        <f>Table6[[#This Row],[Date]]-DAY(Table6[[#This Row],[Date]])+1</f>
        <v>45748</v>
      </c>
      <c r="F339" s="134">
        <v>45765</v>
      </c>
      <c r="G339" s="121" t="s">
        <v>148</v>
      </c>
      <c r="H339" s="39" t="str">
        <f>_xlfn.XLOOKUP(Table6[[#This Row],[Affected WTG]],'Basic Data'!$A:$A,'Basic Data'!$B:$B)</f>
        <v>PWEGPL</v>
      </c>
      <c r="I339" s="39" t="str">
        <f>_xlfn.XLOOKUP(Table6[[#This Row],[Affected WTG]],'Basic Data'!$A:$A,'Basic Data'!$C:$C)</f>
        <v>MSEDCL</v>
      </c>
      <c r="J339" s="363">
        <f>IFERROR(VLOOKUP(Table6[[#This Row],[Affected WTG]],'Basic Data'!$A$3:$E$56,5,0),"")</f>
        <v>2.564102564102564E-2</v>
      </c>
      <c r="K339" s="121">
        <v>5201</v>
      </c>
      <c r="L339" s="39" t="str">
        <f>IFERROR(VLOOKUP(Table6[[#This Row],[Error Code]],'Basic Data'!$T:$U,2,0),"")</f>
        <v>Magnetothermic Trigger Of The Stator Protection</v>
      </c>
      <c r="M339" s="364" t="s">
        <v>462</v>
      </c>
      <c r="O339" s="365">
        <v>0.7</v>
      </c>
      <c r="P339" s="365">
        <v>0.73263888888888884</v>
      </c>
      <c r="Q339" s="365">
        <v>0.73472222222222228</v>
      </c>
      <c r="R339" s="366">
        <f>IF(Table6[[#This Row],[Work Start TimeStamp]]="","",(Table6[[#This Row],[Work Start TimeStamp]]-Table6[[#This Row],[Fault Start TimeStamp]])*24)</f>
        <v>0.78333333333333321</v>
      </c>
      <c r="S339" s="367">
        <f>(Table6[[#This Row],[Fault Clearance time]]-Table6[[#This Row],[Work Start TimeStamp]])*24</f>
        <v>5.0000000000002487E-2</v>
      </c>
      <c r="T339" s="368">
        <f>(Table6[[#This Row],[Fault Clearance time]]-Table6[[#This Row],[Fault Start TimeStamp]])*24</f>
        <v>0.8333333333333357</v>
      </c>
      <c r="U339" s="364" t="s">
        <v>493</v>
      </c>
      <c r="V339" s="369" t="s">
        <v>463</v>
      </c>
      <c r="W339" s="354">
        <f>Table6[[#This Row],[Breakdown Time]]*(1/39)</f>
        <v>2.1367521367521427E-2</v>
      </c>
      <c r="X339" s="352" t="s">
        <v>465</v>
      </c>
      <c r="Y339" s="370" t="s">
        <v>146</v>
      </c>
      <c r="Z339" s="121">
        <v>8169</v>
      </c>
      <c r="AA339" s="123">
        <v>283.64583333333417</v>
      </c>
      <c r="AB339" s="121" t="s">
        <v>478</v>
      </c>
    </row>
    <row r="340" spans="1:30">
      <c r="A340" s="121">
        <f t="shared" si="5"/>
        <v>339</v>
      </c>
      <c r="B340" s="123">
        <f>YEAR(Table6[[#This Row],[Date]])+IF(MONTH(Table6[[#This Row],[Date]])&gt;=4,1,0)</f>
        <v>2026</v>
      </c>
      <c r="C340" s="121">
        <f>YEAR(Table6[[#This Row],[Date]])</f>
        <v>2025</v>
      </c>
      <c r="D340" s="121" t="s">
        <v>490</v>
      </c>
      <c r="E340" s="135">
        <f>Table6[[#This Row],[Date]]-DAY(Table6[[#This Row],[Date]])+1</f>
        <v>45748</v>
      </c>
      <c r="F340" s="134">
        <v>45765</v>
      </c>
      <c r="G340" s="121" t="s">
        <v>137</v>
      </c>
      <c r="H340" s="39" t="str">
        <f>_xlfn.XLOOKUP(Table6[[#This Row],[Affected WTG]],'Basic Data'!$A:$A,'Basic Data'!$B:$B)</f>
        <v>PWEGPL</v>
      </c>
      <c r="I340" s="39" t="str">
        <f>_xlfn.XLOOKUP(Table6[[#This Row],[Affected WTG]],'Basic Data'!$A:$A,'Basic Data'!$C:$C)</f>
        <v>MSEDCL</v>
      </c>
      <c r="J340" s="363">
        <f>IFERROR(VLOOKUP(Table6[[#This Row],[Affected WTG]],'Basic Data'!$A$3:$E$56,5,0),"")</f>
        <v>2.564102564102564E-2</v>
      </c>
      <c r="K340" s="121">
        <v>2106</v>
      </c>
      <c r="L340" s="39" t="str">
        <f>IFERROR(VLOOKUP(Table6[[#This Row],[Error Code]],'Basic Data'!$T:$U,2,0),"")</f>
        <v>Temp. Measurement Module Failure</v>
      </c>
      <c r="M340" s="364" t="s">
        <v>462</v>
      </c>
      <c r="O340" s="365">
        <v>0.68055555555555558</v>
      </c>
      <c r="P340" s="365">
        <v>0.69791666666666663</v>
      </c>
      <c r="Q340" s="365">
        <v>0.74097222222222225</v>
      </c>
      <c r="R340" s="366">
        <f>IF(Table6[[#This Row],[Work Start TimeStamp]]="","",(Table6[[#This Row],[Work Start TimeStamp]]-Table6[[#This Row],[Fault Start TimeStamp]])*24)</f>
        <v>0.41666666666666519</v>
      </c>
      <c r="S340" s="367">
        <f>(Table6[[#This Row],[Fault Clearance time]]-Table6[[#This Row],[Work Start TimeStamp]])*24</f>
        <v>1.033333333333335</v>
      </c>
      <c r="T340" s="368">
        <f>(Table6[[#This Row],[Fault Clearance time]]-Table6[[#This Row],[Fault Start TimeStamp]])*24</f>
        <v>1.4500000000000002</v>
      </c>
      <c r="U340" s="364" t="s">
        <v>556</v>
      </c>
      <c r="V340" s="369" t="s">
        <v>463</v>
      </c>
      <c r="W340" s="354">
        <f>Table6[[#This Row],[Breakdown Time]]*(1/39)</f>
        <v>3.7179487179487186E-2</v>
      </c>
      <c r="X340" s="352" t="s">
        <v>465</v>
      </c>
      <c r="Y340" s="370" t="s">
        <v>136</v>
      </c>
      <c r="Z340" s="121">
        <v>8824</v>
      </c>
      <c r="AA340" s="123">
        <v>533.11666666666679</v>
      </c>
      <c r="AB340" s="121" t="s">
        <v>478</v>
      </c>
    </row>
    <row r="341" spans="1:30">
      <c r="A341" s="121">
        <f t="shared" si="5"/>
        <v>340</v>
      </c>
      <c r="B341" s="123">
        <f>YEAR(Table6[[#This Row],[Date]])+IF(MONTH(Table6[[#This Row],[Date]])&gt;=4,1,0)</f>
        <v>2026</v>
      </c>
      <c r="C341" s="121">
        <f>YEAR(Table6[[#This Row],[Date]])</f>
        <v>2025</v>
      </c>
      <c r="D341" s="121" t="s">
        <v>490</v>
      </c>
      <c r="E341" s="135">
        <f>Table6[[#This Row],[Date]]-DAY(Table6[[#This Row],[Date]])+1</f>
        <v>45748</v>
      </c>
      <c r="F341" s="134">
        <v>45766</v>
      </c>
      <c r="G341" s="121" t="s">
        <v>144</v>
      </c>
      <c r="H341" s="39" t="str">
        <f>_xlfn.XLOOKUP(Table6[[#This Row],[Affected WTG]],'Basic Data'!$A:$A,'Basic Data'!$B:$B)</f>
        <v>PWEGPL</v>
      </c>
      <c r="I341" s="39" t="str">
        <f>_xlfn.XLOOKUP(Table6[[#This Row],[Affected WTG]],'Basic Data'!$A:$A,'Basic Data'!$C:$C)</f>
        <v>MSEDCL</v>
      </c>
      <c r="J341" s="363">
        <f>IFERROR(VLOOKUP(Table6[[#This Row],[Affected WTG]],'Basic Data'!$A$3:$E$56,5,0),"")</f>
        <v>2.564102564102564E-2</v>
      </c>
      <c r="K341" s="121" t="s">
        <v>492</v>
      </c>
      <c r="L341" s="39" t="str">
        <f>IFERROR(VLOOKUP(Table6[[#This Row],[Error Code]],'Basic Data'!$T:$U,2,0),"")</f>
        <v>Manual Stop - Safety Related</v>
      </c>
      <c r="M341" s="364" t="s">
        <v>481</v>
      </c>
      <c r="O341" s="365">
        <v>0</v>
      </c>
      <c r="P341" s="365">
        <v>0.99930555555555556</v>
      </c>
      <c r="Q341" s="365">
        <v>0.99930555555555556</v>
      </c>
      <c r="R341" s="366">
        <f>IF(Table6[[#This Row],[Work Start TimeStamp]]="","",(Table6[[#This Row],[Work Start TimeStamp]]-Table6[[#This Row],[Fault Start TimeStamp]])*24)</f>
        <v>23.983333333333334</v>
      </c>
      <c r="S341" s="367">
        <f>(Table6[[#This Row],[Fault Clearance time]]-Table6[[#This Row],[Work Start TimeStamp]])*24</f>
        <v>0</v>
      </c>
      <c r="T341" s="368">
        <f>(Table6[[#This Row],[Fault Clearance time]]-Table6[[#This Row],[Fault Start TimeStamp]])*24</f>
        <v>23.983333333333334</v>
      </c>
      <c r="U341" s="364" t="s">
        <v>498</v>
      </c>
      <c r="V341" s="369" t="s">
        <v>473</v>
      </c>
      <c r="W341" s="354">
        <f>Table6[[#This Row],[Breakdown Time]]*(1/39)</f>
        <v>0.61495726495726499</v>
      </c>
      <c r="X341" s="352" t="s">
        <v>468</v>
      </c>
      <c r="Y341" s="370" t="s">
        <v>141</v>
      </c>
      <c r="Z341" s="121">
        <v>10567</v>
      </c>
      <c r="AA341" s="123">
        <v>10559.661805555557</v>
      </c>
      <c r="AB341" s="121" t="s">
        <v>478</v>
      </c>
    </row>
    <row r="342" spans="1:30">
      <c r="A342" s="121">
        <f t="shared" si="5"/>
        <v>341</v>
      </c>
      <c r="B342" s="123">
        <f>YEAR(Table6[[#This Row],[Date]])+IF(MONTH(Table6[[#This Row],[Date]])&gt;=4,1,0)</f>
        <v>2026</v>
      </c>
      <c r="C342" s="121">
        <f>YEAR(Table6[[#This Row],[Date]])</f>
        <v>2025</v>
      </c>
      <c r="D342" s="121" t="s">
        <v>490</v>
      </c>
      <c r="E342" s="135">
        <f>Table6[[#This Row],[Date]]-DAY(Table6[[#This Row],[Date]])+1</f>
        <v>45748</v>
      </c>
      <c r="F342" s="134">
        <v>45766</v>
      </c>
      <c r="G342" s="121" t="s">
        <v>142</v>
      </c>
      <c r="H342" s="39" t="str">
        <f>_xlfn.XLOOKUP(Table6[[#This Row],[Affected WTG]],'Basic Data'!$A:$A,'Basic Data'!$B:$B)</f>
        <v>PWEGPL</v>
      </c>
      <c r="I342" s="39" t="str">
        <f>_xlfn.XLOOKUP(Table6[[#This Row],[Affected WTG]],'Basic Data'!$A:$A,'Basic Data'!$C:$C)</f>
        <v>MSEDCL</v>
      </c>
      <c r="J342" s="363">
        <f>IFERROR(VLOOKUP(Table6[[#This Row],[Affected WTG]],'Basic Data'!$A$3:$E$56,5,0),"")</f>
        <v>2.564102564102564E-2</v>
      </c>
      <c r="K342" s="121" t="s">
        <v>492</v>
      </c>
      <c r="L342" s="39" t="str">
        <f>IFERROR(VLOOKUP(Table6[[#This Row],[Error Code]],'Basic Data'!$T:$U,2,0),"")</f>
        <v>Manual Stop - Safety Related</v>
      </c>
      <c r="M342" s="364" t="s">
        <v>481</v>
      </c>
      <c r="O342" s="365">
        <v>0</v>
      </c>
      <c r="P342" s="365">
        <v>0.99930555555555556</v>
      </c>
      <c r="Q342" s="365">
        <v>0.99930555555555556</v>
      </c>
      <c r="R342" s="366">
        <f>IF(Table6[[#This Row],[Work Start TimeStamp]]="","",(Table6[[#This Row],[Work Start TimeStamp]]-Table6[[#This Row],[Fault Start TimeStamp]])*24)</f>
        <v>23.983333333333334</v>
      </c>
      <c r="S342" s="367">
        <f>(Table6[[#This Row],[Fault Clearance time]]-Table6[[#This Row],[Work Start TimeStamp]])*24</f>
        <v>0</v>
      </c>
      <c r="T342" s="368">
        <f>(Table6[[#This Row],[Fault Clearance time]]-Table6[[#This Row],[Fault Start TimeStamp]])*24</f>
        <v>23.983333333333334</v>
      </c>
      <c r="U342" s="364" t="s">
        <v>498</v>
      </c>
      <c r="V342" s="369" t="s">
        <v>473</v>
      </c>
      <c r="W342" s="354">
        <f>Table6[[#This Row],[Breakdown Time]]*(1/39)</f>
        <v>0.61495726495726499</v>
      </c>
      <c r="X342" s="352" t="s">
        <v>468</v>
      </c>
      <c r="Y342" s="370" t="s">
        <v>141</v>
      </c>
      <c r="Z342" s="121">
        <v>10567</v>
      </c>
      <c r="AA342" s="123">
        <v>10559.661805555557</v>
      </c>
      <c r="AB342" s="121" t="s">
        <v>478</v>
      </c>
    </row>
    <row r="343" spans="1:30">
      <c r="A343" s="121">
        <f t="shared" si="5"/>
        <v>342</v>
      </c>
      <c r="B343" s="123">
        <f>YEAR(Table6[[#This Row],[Date]])+IF(MONTH(Table6[[#This Row],[Date]])&gt;=4,1,0)</f>
        <v>2026</v>
      </c>
      <c r="C343" s="121">
        <f>YEAR(Table6[[#This Row],[Date]])</f>
        <v>2025</v>
      </c>
      <c r="D343" s="121" t="s">
        <v>490</v>
      </c>
      <c r="E343" s="135">
        <f>Table6[[#This Row],[Date]]-DAY(Table6[[#This Row],[Date]])+1</f>
        <v>45748</v>
      </c>
      <c r="F343" s="134">
        <v>45766</v>
      </c>
      <c r="G343" s="121" t="s">
        <v>127</v>
      </c>
      <c r="H343" s="39" t="str">
        <f>_xlfn.XLOOKUP(Table6[[#This Row],[Affected WTG]],'Basic Data'!$A:$A,'Basic Data'!$B:$B)</f>
        <v>PWEGPL</v>
      </c>
      <c r="I343" s="39" t="str">
        <f>_xlfn.XLOOKUP(Table6[[#This Row],[Affected WTG]],'Basic Data'!$A:$A,'Basic Data'!$C:$C)</f>
        <v>MSEDCL</v>
      </c>
      <c r="J343" s="363">
        <f>IFERROR(VLOOKUP(Table6[[#This Row],[Affected WTG]],'Basic Data'!$A$3:$E$56,5,0),"")</f>
        <v>2.564102564102564E-2</v>
      </c>
      <c r="K343" s="121">
        <v>5210</v>
      </c>
      <c r="L343" s="39" t="str">
        <f>IFERROR(VLOOKUP(Table6[[#This Row],[Error Code]],'Basic Data'!$T:$U,2,0),"")</f>
        <v>Failure Of The Contactor's Rotor Power</v>
      </c>
      <c r="M343" s="364" t="s">
        <v>462</v>
      </c>
      <c r="O343" s="365">
        <v>0.62361111111111112</v>
      </c>
      <c r="P343" s="365">
        <v>0.63541666666666663</v>
      </c>
      <c r="Q343" s="365">
        <v>0.63749999999999996</v>
      </c>
      <c r="R343" s="366">
        <f>IF(Table6[[#This Row],[Work Start TimeStamp]]="","",(Table6[[#This Row],[Work Start TimeStamp]]-Table6[[#This Row],[Fault Start TimeStamp]])*24)</f>
        <v>0.28333333333333233</v>
      </c>
      <c r="S343" s="367">
        <f>(Table6[[#This Row],[Fault Clearance time]]-Table6[[#This Row],[Work Start TimeStamp]])*24</f>
        <v>4.9999999999999822E-2</v>
      </c>
      <c r="T343" s="368">
        <f>(Table6[[#This Row],[Fault Clearance time]]-Table6[[#This Row],[Fault Start TimeStamp]])*24</f>
        <v>0.33333333333333215</v>
      </c>
      <c r="U343" s="364" t="s">
        <v>491</v>
      </c>
      <c r="V343" s="369" t="s">
        <v>463</v>
      </c>
      <c r="W343" s="354">
        <f>Table6[[#This Row],[Breakdown Time]]*(1/39)</f>
        <v>8.5470085470085166E-3</v>
      </c>
      <c r="X343" s="352" t="s">
        <v>465</v>
      </c>
      <c r="Y343" s="370" t="s">
        <v>128</v>
      </c>
      <c r="Z343" s="121">
        <v>11378</v>
      </c>
      <c r="AA343" s="123">
        <v>158.0277777777772</v>
      </c>
      <c r="AB343" s="121" t="s">
        <v>478</v>
      </c>
    </row>
    <row r="344" spans="1:30">
      <c r="A344" s="121">
        <f t="shared" si="5"/>
        <v>343</v>
      </c>
      <c r="B344" s="123">
        <f>YEAR(Table6[[#This Row],[Date]])+IF(MONTH(Table6[[#This Row],[Date]])&gt;=4,1,0)</f>
        <v>2026</v>
      </c>
      <c r="C344" s="121">
        <f>YEAR(Table6[[#This Row],[Date]])</f>
        <v>2025</v>
      </c>
      <c r="D344" s="121" t="s">
        <v>490</v>
      </c>
      <c r="E344" s="135">
        <f>Table6[[#This Row],[Date]]-DAY(Table6[[#This Row],[Date]])+1</f>
        <v>45748</v>
      </c>
      <c r="F344" s="134">
        <v>45766</v>
      </c>
      <c r="G344" s="121" t="s">
        <v>137</v>
      </c>
      <c r="H344" s="39" t="str">
        <f>_xlfn.XLOOKUP(Table6[[#This Row],[Affected WTG]],'Basic Data'!$A:$A,'Basic Data'!$B:$B)</f>
        <v>PWEGPL</v>
      </c>
      <c r="I344" s="39" t="str">
        <f>_xlfn.XLOOKUP(Table6[[#This Row],[Affected WTG]],'Basic Data'!$A:$A,'Basic Data'!$C:$C)</f>
        <v>MSEDCL</v>
      </c>
      <c r="J344" s="363">
        <f>IFERROR(VLOOKUP(Table6[[#This Row],[Affected WTG]],'Basic Data'!$A$3:$E$56,5,0),"")</f>
        <v>2.564102564102564E-2</v>
      </c>
      <c r="K344" s="121" t="s">
        <v>487</v>
      </c>
      <c r="L344" s="39" t="str">
        <f>IFERROR(VLOOKUP(Table6[[#This Row],[Error Code]],'Basic Data'!$T:$U,2,0),"")</f>
        <v>General Work Stoppage</v>
      </c>
      <c r="M344" s="364" t="s">
        <v>479</v>
      </c>
      <c r="O344" s="365">
        <v>0.46875</v>
      </c>
      <c r="P344" s="365">
        <v>0.46875</v>
      </c>
      <c r="Q344" s="365">
        <v>0.75208333333333333</v>
      </c>
      <c r="R344" s="366">
        <f>IF(Table6[[#This Row],[Work Start TimeStamp]]="","",(Table6[[#This Row],[Work Start TimeStamp]]-Table6[[#This Row],[Fault Start TimeStamp]])*24)</f>
        <v>0</v>
      </c>
      <c r="S344" s="367">
        <f>(Table6[[#This Row],[Fault Clearance time]]-Table6[[#This Row],[Work Start TimeStamp]])*24</f>
        <v>6.8</v>
      </c>
      <c r="T344" s="368">
        <f>(Table6[[#This Row],[Fault Clearance time]]-Table6[[#This Row],[Fault Start TimeStamp]])*24</f>
        <v>6.8</v>
      </c>
      <c r="U344" s="364" t="s">
        <v>496</v>
      </c>
      <c r="V344" s="369" t="s">
        <v>463</v>
      </c>
      <c r="W344" s="354">
        <f>Table6[[#This Row],[Breakdown Time]]*(1/39)</f>
        <v>0.17435897435897435</v>
      </c>
      <c r="X344" s="352" t="s">
        <v>464</v>
      </c>
      <c r="Y344" s="370" t="s">
        <v>119</v>
      </c>
      <c r="Z344" s="121">
        <v>10590</v>
      </c>
      <c r="AA344" s="123">
        <v>3000.5</v>
      </c>
      <c r="AB344" s="121" t="s">
        <v>478</v>
      </c>
      <c r="AD344" s="373"/>
    </row>
    <row r="345" spans="1:30">
      <c r="A345" s="121">
        <f t="shared" si="5"/>
        <v>344</v>
      </c>
      <c r="B345" s="123">
        <f>YEAR(Table6[[#This Row],[Date]])+IF(MONTH(Table6[[#This Row],[Date]])&gt;=4,1,0)</f>
        <v>2026</v>
      </c>
      <c r="C345" s="121">
        <f>YEAR(Table6[[#This Row],[Date]])</f>
        <v>2025</v>
      </c>
      <c r="D345" s="121" t="s">
        <v>490</v>
      </c>
      <c r="E345" s="135">
        <f>Table6[[#This Row],[Date]]-DAY(Table6[[#This Row],[Date]])+1</f>
        <v>45748</v>
      </c>
      <c r="F345" s="134">
        <v>45766</v>
      </c>
      <c r="G345" s="121" t="s">
        <v>146</v>
      </c>
      <c r="H345" s="39" t="str">
        <f>_xlfn.XLOOKUP(Table6[[#This Row],[Affected WTG]],'Basic Data'!$A:$A,'Basic Data'!$B:$B)</f>
        <v>PWEGPL</v>
      </c>
      <c r="I345" s="39" t="str">
        <f>_xlfn.XLOOKUP(Table6[[#This Row],[Affected WTG]],'Basic Data'!$A:$A,'Basic Data'!$C:$C)</f>
        <v>MSEDCL</v>
      </c>
      <c r="J345" s="363">
        <f>IFERROR(VLOOKUP(Table6[[#This Row],[Affected WTG]],'Basic Data'!$A$3:$E$56,5,0),"")</f>
        <v>2.564102564102564E-2</v>
      </c>
      <c r="K345" s="121">
        <v>2118</v>
      </c>
      <c r="L345" s="39" t="str">
        <f>IFERROR(VLOOKUP(Table6[[#This Row],[Error Code]],'Basic Data'!$T:$U,2,0),"")</f>
        <v>Bus Error - Interbus Failure</v>
      </c>
      <c r="M345" s="364" t="s">
        <v>462</v>
      </c>
      <c r="O345" s="365">
        <v>0.60902777777777772</v>
      </c>
      <c r="P345" s="365">
        <v>0.63402777777777775</v>
      </c>
      <c r="Q345" s="365">
        <v>0.67361111111111116</v>
      </c>
      <c r="R345" s="366">
        <f>IF(Table6[[#This Row],[Work Start TimeStamp]]="","",(Table6[[#This Row],[Work Start TimeStamp]]-Table6[[#This Row],[Fault Start TimeStamp]])*24)</f>
        <v>0.60000000000000053</v>
      </c>
      <c r="S345" s="367">
        <f>(Table6[[#This Row],[Fault Clearance time]]-Table6[[#This Row],[Work Start TimeStamp]])*24</f>
        <v>0.95000000000000195</v>
      </c>
      <c r="T345" s="368">
        <f>(Table6[[#This Row],[Fault Clearance time]]-Table6[[#This Row],[Fault Start TimeStamp]])*24</f>
        <v>1.5500000000000025</v>
      </c>
      <c r="U345" s="364" t="s">
        <v>514</v>
      </c>
      <c r="V345" s="369" t="s">
        <v>463</v>
      </c>
      <c r="W345" s="354">
        <f>Table6[[#This Row],[Breakdown Time]]*(1/39)</f>
        <v>3.9743589743589804E-2</v>
      </c>
      <c r="X345" s="352" t="s">
        <v>465</v>
      </c>
      <c r="Y345" s="370" t="s">
        <v>147</v>
      </c>
      <c r="Z345" s="121">
        <v>10290</v>
      </c>
      <c r="AA345" s="123">
        <v>664.56250000000102</v>
      </c>
      <c r="AB345" s="121" t="s">
        <v>478</v>
      </c>
    </row>
    <row r="346" spans="1:30">
      <c r="A346" s="121">
        <f t="shared" si="5"/>
        <v>345</v>
      </c>
      <c r="B346" s="123">
        <f>YEAR(Table6[[#This Row],[Date]])+IF(MONTH(Table6[[#This Row],[Date]])&gt;=4,1,0)</f>
        <v>2026</v>
      </c>
      <c r="C346" s="121">
        <f>YEAR(Table6[[#This Row],[Date]])</f>
        <v>2025</v>
      </c>
      <c r="D346" s="121" t="s">
        <v>490</v>
      </c>
      <c r="E346" s="135">
        <f>Table6[[#This Row],[Date]]-DAY(Table6[[#This Row],[Date]])+1</f>
        <v>45748</v>
      </c>
      <c r="F346" s="134">
        <v>45767</v>
      </c>
      <c r="G346" s="121" t="s">
        <v>144</v>
      </c>
      <c r="H346" s="39" t="str">
        <f>_xlfn.XLOOKUP(Table6[[#This Row],[Affected WTG]],'Basic Data'!$A:$A,'Basic Data'!$B:$B)</f>
        <v>PWEGPL</v>
      </c>
      <c r="I346" s="39" t="str">
        <f>_xlfn.XLOOKUP(Table6[[#This Row],[Affected WTG]],'Basic Data'!$A:$A,'Basic Data'!$C:$C)</f>
        <v>MSEDCL</v>
      </c>
      <c r="J346" s="363">
        <f>IFERROR(VLOOKUP(Table6[[#This Row],[Affected WTG]],'Basic Data'!$A$3:$E$56,5,0),"")</f>
        <v>2.564102564102564E-2</v>
      </c>
      <c r="K346" s="121" t="s">
        <v>492</v>
      </c>
      <c r="L346" s="39" t="str">
        <f>IFERROR(VLOOKUP(Table6[[#This Row],[Error Code]],'Basic Data'!$T:$U,2,0),"")</f>
        <v>Manual Stop - Safety Related</v>
      </c>
      <c r="M346" s="364" t="s">
        <v>481</v>
      </c>
      <c r="O346" s="365">
        <v>0</v>
      </c>
      <c r="P346" s="365">
        <v>0.99930555555555556</v>
      </c>
      <c r="Q346" s="365">
        <v>0.99930555555555556</v>
      </c>
      <c r="R346" s="366">
        <f>IF(Table6[[#This Row],[Work Start TimeStamp]]="","",(Table6[[#This Row],[Work Start TimeStamp]]-Table6[[#This Row],[Fault Start TimeStamp]])*24)</f>
        <v>23.983333333333334</v>
      </c>
      <c r="S346" s="367">
        <f>(Table6[[#This Row],[Fault Clearance time]]-Table6[[#This Row],[Work Start TimeStamp]])*24</f>
        <v>0</v>
      </c>
      <c r="T346" s="368">
        <f>(Table6[[#This Row],[Fault Clearance time]]-Table6[[#This Row],[Fault Start TimeStamp]])*24</f>
        <v>23.983333333333334</v>
      </c>
      <c r="U346" s="364" t="s">
        <v>498</v>
      </c>
      <c r="V346" s="369" t="s">
        <v>473</v>
      </c>
      <c r="W346" s="354">
        <f>Table6[[#This Row],[Breakdown Time]]*(1/39)</f>
        <v>0.61495726495726499</v>
      </c>
      <c r="X346" s="352" t="s">
        <v>468</v>
      </c>
      <c r="Y346" s="370" t="s">
        <v>141</v>
      </c>
      <c r="Z346" s="121">
        <v>20863</v>
      </c>
      <c r="AA346" s="123">
        <v>20848.511805555554</v>
      </c>
      <c r="AB346" s="121" t="s">
        <v>478</v>
      </c>
    </row>
    <row r="347" spans="1:30">
      <c r="A347" s="121">
        <f t="shared" si="5"/>
        <v>346</v>
      </c>
      <c r="B347" s="123">
        <f>YEAR(Table6[[#This Row],[Date]])+IF(MONTH(Table6[[#This Row],[Date]])&gt;=4,1,0)</f>
        <v>2026</v>
      </c>
      <c r="C347" s="121">
        <f>YEAR(Table6[[#This Row],[Date]])</f>
        <v>2025</v>
      </c>
      <c r="D347" s="121" t="s">
        <v>490</v>
      </c>
      <c r="E347" s="135">
        <f>Table6[[#This Row],[Date]]-DAY(Table6[[#This Row],[Date]])+1</f>
        <v>45748</v>
      </c>
      <c r="F347" s="134">
        <v>45767</v>
      </c>
      <c r="G347" s="121" t="s">
        <v>142</v>
      </c>
      <c r="H347" s="39" t="str">
        <f>_xlfn.XLOOKUP(Table6[[#This Row],[Affected WTG]],'Basic Data'!$A:$A,'Basic Data'!$B:$B)</f>
        <v>PWEGPL</v>
      </c>
      <c r="I347" s="39" t="str">
        <f>_xlfn.XLOOKUP(Table6[[#This Row],[Affected WTG]],'Basic Data'!$A:$A,'Basic Data'!$C:$C)</f>
        <v>MSEDCL</v>
      </c>
      <c r="J347" s="363">
        <f>IFERROR(VLOOKUP(Table6[[#This Row],[Affected WTG]],'Basic Data'!$A$3:$E$56,5,0),"")</f>
        <v>2.564102564102564E-2</v>
      </c>
      <c r="K347" s="121" t="s">
        <v>492</v>
      </c>
      <c r="L347" s="39" t="str">
        <f>IFERROR(VLOOKUP(Table6[[#This Row],[Error Code]],'Basic Data'!$T:$U,2,0),"")</f>
        <v>Manual Stop - Safety Related</v>
      </c>
      <c r="M347" s="364" t="s">
        <v>481</v>
      </c>
      <c r="O347" s="365">
        <v>0</v>
      </c>
      <c r="P347" s="365">
        <v>0.99930555555555556</v>
      </c>
      <c r="Q347" s="365">
        <v>0.99930555555555556</v>
      </c>
      <c r="R347" s="366">
        <f>IF(Table6[[#This Row],[Work Start TimeStamp]]="","",(Table6[[#This Row],[Work Start TimeStamp]]-Table6[[#This Row],[Fault Start TimeStamp]])*24)</f>
        <v>23.983333333333334</v>
      </c>
      <c r="S347" s="367">
        <f>(Table6[[#This Row],[Fault Clearance time]]-Table6[[#This Row],[Work Start TimeStamp]])*24</f>
        <v>0</v>
      </c>
      <c r="T347" s="368">
        <f>(Table6[[#This Row],[Fault Clearance time]]-Table6[[#This Row],[Fault Start TimeStamp]])*24</f>
        <v>23.983333333333334</v>
      </c>
      <c r="U347" s="364" t="s">
        <v>498</v>
      </c>
      <c r="V347" s="369" t="s">
        <v>473</v>
      </c>
      <c r="W347" s="354">
        <f>Table6[[#This Row],[Breakdown Time]]*(1/39)</f>
        <v>0.61495726495726499</v>
      </c>
      <c r="X347" s="352" t="s">
        <v>468</v>
      </c>
      <c r="Y347" s="370" t="s">
        <v>141</v>
      </c>
      <c r="Z347" s="121">
        <v>20863</v>
      </c>
      <c r="AA347" s="123">
        <v>20848.511805555554</v>
      </c>
      <c r="AB347" s="121" t="s">
        <v>478</v>
      </c>
    </row>
    <row r="348" spans="1:30">
      <c r="A348" s="121">
        <f t="shared" si="5"/>
        <v>347</v>
      </c>
      <c r="B348" s="123">
        <f>YEAR(Table6[[#This Row],[Date]])+IF(MONTH(Table6[[#This Row],[Date]])&gt;=4,1,0)</f>
        <v>2026</v>
      </c>
      <c r="C348" s="121">
        <f>YEAR(Table6[[#This Row],[Date]])</f>
        <v>2025</v>
      </c>
      <c r="D348" s="121" t="s">
        <v>490</v>
      </c>
      <c r="E348" s="135">
        <f>Table6[[#This Row],[Date]]-DAY(Table6[[#This Row],[Date]])+1</f>
        <v>45748</v>
      </c>
      <c r="F348" s="134">
        <v>45767</v>
      </c>
      <c r="G348" s="121" t="s">
        <v>118</v>
      </c>
      <c r="H348" s="39" t="str">
        <f>_xlfn.XLOOKUP(Table6[[#This Row],[Affected WTG]],'Basic Data'!$A:$A,'Basic Data'!$B:$B)</f>
        <v>PWEGPL</v>
      </c>
      <c r="I348" s="39" t="str">
        <f>_xlfn.XLOOKUP(Table6[[#This Row],[Affected WTG]],'Basic Data'!$A:$A,'Basic Data'!$C:$C)</f>
        <v>MSEDCL</v>
      </c>
      <c r="J348" s="363">
        <f>IFERROR(VLOOKUP(Table6[[#This Row],[Affected WTG]],'Basic Data'!$A$3:$E$56,5,0),"")</f>
        <v>2.564102564102564E-2</v>
      </c>
      <c r="K348" s="121">
        <v>719</v>
      </c>
      <c r="L348" s="39" t="str">
        <f>IFERROR(VLOOKUP(Table6[[#This Row],[Error Code]],'Basic Data'!$T:$U,2,0),"")</f>
        <v>Cup Anemometer Failure Warning</v>
      </c>
      <c r="M348" s="364" t="s">
        <v>462</v>
      </c>
      <c r="O348" s="365">
        <v>0.47916666666666669</v>
      </c>
      <c r="P348" s="365">
        <v>0.5083333333333333</v>
      </c>
      <c r="Q348" s="365">
        <v>0.50902777777777775</v>
      </c>
      <c r="R348" s="366">
        <f>IF(Table6[[#This Row],[Work Start TimeStamp]]="","",(Table6[[#This Row],[Work Start TimeStamp]]-Table6[[#This Row],[Fault Start TimeStamp]])*24)</f>
        <v>0.69999999999999885</v>
      </c>
      <c r="S348" s="367">
        <f>(Table6[[#This Row],[Fault Clearance time]]-Table6[[#This Row],[Work Start TimeStamp]])*24</f>
        <v>1.6666666666666607E-2</v>
      </c>
      <c r="T348" s="368">
        <f>(Table6[[#This Row],[Fault Clearance time]]-Table6[[#This Row],[Fault Start TimeStamp]])*24</f>
        <v>0.71666666666666545</v>
      </c>
      <c r="U348" s="364" t="s">
        <v>493</v>
      </c>
      <c r="V348" s="369" t="s">
        <v>463</v>
      </c>
      <c r="W348" s="354">
        <f>Table6[[#This Row],[Breakdown Time]]*(1/39)</f>
        <v>1.8376068376068345E-2</v>
      </c>
      <c r="X348" s="352" t="s">
        <v>465</v>
      </c>
      <c r="Y348" s="370" t="s">
        <v>117</v>
      </c>
      <c r="Z348" s="121">
        <v>20321</v>
      </c>
      <c r="AA348" s="123">
        <v>606.80763888888794</v>
      </c>
      <c r="AB348" s="121" t="s">
        <v>478</v>
      </c>
    </row>
    <row r="349" spans="1:30">
      <c r="A349" s="121">
        <f t="shared" si="5"/>
        <v>348</v>
      </c>
      <c r="B349" s="123">
        <f>YEAR(Table6[[#This Row],[Date]])+IF(MONTH(Table6[[#This Row],[Date]])&gt;=4,1,0)</f>
        <v>2026</v>
      </c>
      <c r="C349" s="121">
        <f>YEAR(Table6[[#This Row],[Date]])</f>
        <v>2025</v>
      </c>
      <c r="D349" s="121" t="s">
        <v>490</v>
      </c>
      <c r="E349" s="135">
        <f>Table6[[#This Row],[Date]]-DAY(Table6[[#This Row],[Date]])+1</f>
        <v>45748</v>
      </c>
      <c r="F349" s="134">
        <v>45767</v>
      </c>
      <c r="G349" s="121" t="s">
        <v>127</v>
      </c>
      <c r="H349" s="39" t="str">
        <f>_xlfn.XLOOKUP(Table6[[#This Row],[Affected WTG]],'Basic Data'!$A:$A,'Basic Data'!$B:$B)</f>
        <v>PWEGPL</v>
      </c>
      <c r="I349" s="39" t="str">
        <f>_xlfn.XLOOKUP(Table6[[#This Row],[Affected WTG]],'Basic Data'!$A:$A,'Basic Data'!$C:$C)</f>
        <v>MSEDCL</v>
      </c>
      <c r="J349" s="363">
        <f>IFERROR(VLOOKUP(Table6[[#This Row],[Affected WTG]],'Basic Data'!$A$3:$E$56,5,0),"")</f>
        <v>2.564102564102564E-2</v>
      </c>
      <c r="K349" s="121">
        <v>500</v>
      </c>
      <c r="L349" s="39" t="str">
        <f>IFERROR(VLOOKUP(Table6[[#This Row],[Error Code]],'Basic Data'!$T:$U,2,0),"")</f>
        <v>High Generator Winding Temperature</v>
      </c>
      <c r="M349" s="364" t="s">
        <v>462</v>
      </c>
      <c r="O349" s="365">
        <v>0.1701388888888889</v>
      </c>
      <c r="P349" s="365">
        <v>0.1701388888888889</v>
      </c>
      <c r="Q349" s="365">
        <v>0.1736111111111111</v>
      </c>
      <c r="R349" s="366">
        <f>IF(Table6[[#This Row],[Work Start TimeStamp]]="","",(Table6[[#This Row],[Work Start TimeStamp]]-Table6[[#This Row],[Fault Start TimeStamp]])*24)</f>
        <v>0</v>
      </c>
      <c r="S349" s="367">
        <f>(Table6[[#This Row],[Fault Clearance time]]-Table6[[#This Row],[Work Start TimeStamp]])*24</f>
        <v>8.3333333333333037E-2</v>
      </c>
      <c r="T349" s="368">
        <f>(Table6[[#This Row],[Fault Clearance time]]-Table6[[#This Row],[Fault Start TimeStamp]])*24</f>
        <v>8.3333333333333037E-2</v>
      </c>
      <c r="U349" s="364" t="s">
        <v>480</v>
      </c>
      <c r="V349" s="369" t="s">
        <v>463</v>
      </c>
      <c r="W349" s="354">
        <f>Table6[[#This Row],[Breakdown Time]]*(1/39)</f>
        <v>2.1367521367521292E-3</v>
      </c>
      <c r="X349" s="352" t="s">
        <v>465</v>
      </c>
      <c r="Y349" s="370" t="s">
        <v>128</v>
      </c>
      <c r="Z349" s="121">
        <v>21178</v>
      </c>
      <c r="AA349" s="123">
        <v>73.534722222221959</v>
      </c>
      <c r="AB349" s="121" t="s">
        <v>478</v>
      </c>
    </row>
    <row r="350" spans="1:30">
      <c r="A350" s="121">
        <f t="shared" si="5"/>
        <v>349</v>
      </c>
      <c r="B350" s="123">
        <f>YEAR(Table6[[#This Row],[Date]])+IF(MONTH(Table6[[#This Row],[Date]])&gt;=4,1,0)</f>
        <v>2026</v>
      </c>
      <c r="C350" s="121">
        <f>YEAR(Table6[[#This Row],[Date]])</f>
        <v>2025</v>
      </c>
      <c r="D350" s="121" t="s">
        <v>490</v>
      </c>
      <c r="E350" s="135">
        <f>Table6[[#This Row],[Date]]-DAY(Table6[[#This Row],[Date]])+1</f>
        <v>45748</v>
      </c>
      <c r="F350" s="134">
        <v>45767</v>
      </c>
      <c r="G350" s="121" t="s">
        <v>127</v>
      </c>
      <c r="H350" s="39" t="str">
        <f>_xlfn.XLOOKUP(Table6[[#This Row],[Affected WTG]],'Basic Data'!$A:$A,'Basic Data'!$B:$B)</f>
        <v>PWEGPL</v>
      </c>
      <c r="I350" s="39" t="str">
        <f>_xlfn.XLOOKUP(Table6[[#This Row],[Affected WTG]],'Basic Data'!$A:$A,'Basic Data'!$C:$C)</f>
        <v>MSEDCL</v>
      </c>
      <c r="J350" s="363">
        <f>IFERROR(VLOOKUP(Table6[[#This Row],[Affected WTG]],'Basic Data'!$A$3:$E$56,5,0),"")</f>
        <v>2.564102564102564E-2</v>
      </c>
      <c r="K350" s="121">
        <v>500</v>
      </c>
      <c r="L350" s="39" t="str">
        <f>IFERROR(VLOOKUP(Table6[[#This Row],[Error Code]],'Basic Data'!$T:$U,2,0),"")</f>
        <v>High Generator Winding Temperature</v>
      </c>
      <c r="M350" s="364" t="s">
        <v>462</v>
      </c>
      <c r="O350" s="365">
        <v>0.23194444444444445</v>
      </c>
      <c r="P350" s="365">
        <v>0.23194444444444445</v>
      </c>
      <c r="Q350" s="365">
        <v>0.23541666666666666</v>
      </c>
      <c r="R350" s="366">
        <f>IF(Table6[[#This Row],[Work Start TimeStamp]]="","",(Table6[[#This Row],[Work Start TimeStamp]]-Table6[[#This Row],[Fault Start TimeStamp]])*24)</f>
        <v>0</v>
      </c>
      <c r="S350" s="367">
        <f>(Table6[[#This Row],[Fault Clearance time]]-Table6[[#This Row],[Work Start TimeStamp]])*24</f>
        <v>8.3333333333333037E-2</v>
      </c>
      <c r="T350" s="368">
        <f>(Table6[[#This Row],[Fault Clearance time]]-Table6[[#This Row],[Fault Start TimeStamp]])*24</f>
        <v>8.3333333333333037E-2</v>
      </c>
      <c r="U350" s="364" t="s">
        <v>480</v>
      </c>
      <c r="V350" s="369" t="s">
        <v>463</v>
      </c>
      <c r="W350" s="354">
        <f>Table6[[#This Row],[Breakdown Time]]*(1/39)</f>
        <v>2.1367521367521292E-3</v>
      </c>
      <c r="X350" s="352" t="s">
        <v>465</v>
      </c>
      <c r="Y350" s="370" t="s">
        <v>128</v>
      </c>
      <c r="Z350" s="121">
        <v>21178</v>
      </c>
      <c r="AA350" s="123">
        <v>73.534722222221959</v>
      </c>
      <c r="AB350" s="121" t="s">
        <v>478</v>
      </c>
    </row>
    <row r="351" spans="1:30">
      <c r="A351" s="121">
        <f t="shared" si="5"/>
        <v>350</v>
      </c>
      <c r="B351" s="123">
        <f>YEAR(Table6[[#This Row],[Date]])+IF(MONTH(Table6[[#This Row],[Date]])&gt;=4,1,0)</f>
        <v>2026</v>
      </c>
      <c r="C351" s="121">
        <f>YEAR(Table6[[#This Row],[Date]])</f>
        <v>2025</v>
      </c>
      <c r="D351" s="121" t="s">
        <v>490</v>
      </c>
      <c r="E351" s="135">
        <f>Table6[[#This Row],[Date]]-DAY(Table6[[#This Row],[Date]])+1</f>
        <v>45748</v>
      </c>
      <c r="F351" s="134">
        <v>45767</v>
      </c>
      <c r="G351" s="121" t="s">
        <v>127</v>
      </c>
      <c r="H351" s="39" t="str">
        <f>_xlfn.XLOOKUP(Table6[[#This Row],[Affected WTG]],'Basic Data'!$A:$A,'Basic Data'!$B:$B)</f>
        <v>PWEGPL</v>
      </c>
      <c r="I351" s="39" t="str">
        <f>_xlfn.XLOOKUP(Table6[[#This Row],[Affected WTG]],'Basic Data'!$A:$A,'Basic Data'!$C:$C)</f>
        <v>MSEDCL</v>
      </c>
      <c r="J351" s="363">
        <f>IFERROR(VLOOKUP(Table6[[#This Row],[Affected WTG]],'Basic Data'!$A$3:$E$56,5,0),"")</f>
        <v>2.564102564102564E-2</v>
      </c>
      <c r="K351" s="121">
        <v>500</v>
      </c>
      <c r="L351" s="39" t="str">
        <f>IFERROR(VLOOKUP(Table6[[#This Row],[Error Code]],'Basic Data'!$T:$U,2,0),"")</f>
        <v>High Generator Winding Temperature</v>
      </c>
      <c r="M351" s="364" t="s">
        <v>462</v>
      </c>
      <c r="O351" s="365">
        <v>0.28125</v>
      </c>
      <c r="P351" s="365">
        <v>0.28125</v>
      </c>
      <c r="Q351" s="365">
        <v>0.28472222222222221</v>
      </c>
      <c r="R351" s="366">
        <f>IF(Table6[[#This Row],[Work Start TimeStamp]]="","",(Table6[[#This Row],[Work Start TimeStamp]]-Table6[[#This Row],[Fault Start TimeStamp]])*24)</f>
        <v>0</v>
      </c>
      <c r="S351" s="367">
        <f>(Table6[[#This Row],[Fault Clearance time]]-Table6[[#This Row],[Work Start TimeStamp]])*24</f>
        <v>8.3333333333333037E-2</v>
      </c>
      <c r="T351" s="368">
        <f>(Table6[[#This Row],[Fault Clearance time]]-Table6[[#This Row],[Fault Start TimeStamp]])*24</f>
        <v>8.3333333333333037E-2</v>
      </c>
      <c r="U351" s="364" t="s">
        <v>480</v>
      </c>
      <c r="V351" s="369" t="s">
        <v>463</v>
      </c>
      <c r="W351" s="354">
        <f>Table6[[#This Row],[Breakdown Time]]*(1/39)</f>
        <v>2.1367521367521292E-3</v>
      </c>
      <c r="X351" s="352" t="s">
        <v>465</v>
      </c>
      <c r="Y351" s="370" t="s">
        <v>128</v>
      </c>
      <c r="Z351" s="121">
        <v>21178</v>
      </c>
      <c r="AA351" s="123">
        <v>73.534722222221959</v>
      </c>
      <c r="AB351" s="121" t="s">
        <v>478</v>
      </c>
    </row>
    <row r="352" spans="1:30">
      <c r="A352" s="121">
        <f t="shared" si="5"/>
        <v>351</v>
      </c>
      <c r="B352" s="123">
        <f>YEAR(Table6[[#This Row],[Date]])+IF(MONTH(Table6[[#This Row],[Date]])&gt;=4,1,0)</f>
        <v>2026</v>
      </c>
      <c r="C352" s="121">
        <f>YEAR(Table6[[#This Row],[Date]])</f>
        <v>2025</v>
      </c>
      <c r="D352" s="121" t="s">
        <v>490</v>
      </c>
      <c r="E352" s="135">
        <f>Table6[[#This Row],[Date]]-DAY(Table6[[#This Row],[Date]])+1</f>
        <v>45748</v>
      </c>
      <c r="F352" s="134">
        <v>45767</v>
      </c>
      <c r="G352" s="121" t="s">
        <v>127</v>
      </c>
      <c r="H352" s="39" t="str">
        <f>_xlfn.XLOOKUP(Table6[[#This Row],[Affected WTG]],'Basic Data'!$A:$A,'Basic Data'!$B:$B)</f>
        <v>PWEGPL</v>
      </c>
      <c r="I352" s="39" t="str">
        <f>_xlfn.XLOOKUP(Table6[[#This Row],[Affected WTG]],'Basic Data'!$A:$A,'Basic Data'!$C:$C)</f>
        <v>MSEDCL</v>
      </c>
      <c r="J352" s="363">
        <f>IFERROR(VLOOKUP(Table6[[#This Row],[Affected WTG]],'Basic Data'!$A$3:$E$56,5,0),"")</f>
        <v>2.564102564102564E-2</v>
      </c>
      <c r="K352" s="121" t="s">
        <v>466</v>
      </c>
      <c r="L352" s="39" t="str">
        <f>IFERROR(VLOOKUP(Table6[[#This Row],[Error Code]],'Basic Data'!$T:$U,2,0),"")</f>
        <v>Manual Stop</v>
      </c>
      <c r="M352" s="364" t="s">
        <v>479</v>
      </c>
      <c r="O352" s="365">
        <v>0.47569444444444442</v>
      </c>
      <c r="P352" s="365">
        <v>0.47569444444444442</v>
      </c>
      <c r="Q352" s="365">
        <v>0.64097222222222228</v>
      </c>
      <c r="R352" s="366">
        <f>IF(Table6[[#This Row],[Work Start TimeStamp]]="","",(Table6[[#This Row],[Work Start TimeStamp]]-Table6[[#This Row],[Fault Start TimeStamp]])*24)</f>
        <v>0</v>
      </c>
      <c r="S352" s="367">
        <f>(Table6[[#This Row],[Fault Clearance time]]-Table6[[#This Row],[Work Start TimeStamp]])*24</f>
        <v>3.9666666666666686</v>
      </c>
      <c r="T352" s="368">
        <f>(Table6[[#This Row],[Fault Clearance time]]-Table6[[#This Row],[Fault Start TimeStamp]])*24</f>
        <v>3.9666666666666686</v>
      </c>
      <c r="U352" s="364" t="s">
        <v>557</v>
      </c>
      <c r="V352" s="369" t="s">
        <v>463</v>
      </c>
      <c r="W352" s="354">
        <f>Table6[[#This Row],[Breakdown Time]]*(1/39)</f>
        <v>0.10170940170940175</v>
      </c>
      <c r="X352" s="352" t="s">
        <v>464</v>
      </c>
      <c r="Y352" s="370" t="s">
        <v>128</v>
      </c>
      <c r="Z352" s="121">
        <v>21178</v>
      </c>
      <c r="AA352" s="123">
        <v>3500.2527777777791</v>
      </c>
      <c r="AB352" s="121" t="s">
        <v>478</v>
      </c>
    </row>
    <row r="353" spans="1:28">
      <c r="A353" s="121">
        <f t="shared" si="5"/>
        <v>352</v>
      </c>
      <c r="B353" s="123">
        <f>YEAR(Table6[[#This Row],[Date]])+IF(MONTH(Table6[[#This Row],[Date]])&gt;=4,1,0)</f>
        <v>2026</v>
      </c>
      <c r="C353" s="121">
        <f>YEAR(Table6[[#This Row],[Date]])</f>
        <v>2025</v>
      </c>
      <c r="D353" s="121" t="s">
        <v>490</v>
      </c>
      <c r="E353" s="135">
        <f>Table6[[#This Row],[Date]]-DAY(Table6[[#This Row],[Date]])+1</f>
        <v>45748</v>
      </c>
      <c r="F353" s="134">
        <v>45767</v>
      </c>
      <c r="G353" s="121" t="s">
        <v>136</v>
      </c>
      <c r="H353" s="39" t="str">
        <f>_xlfn.XLOOKUP(Table6[[#This Row],[Affected WTG]],'Basic Data'!$A:$A,'Basic Data'!$B:$B)</f>
        <v>PWEGPL</v>
      </c>
      <c r="I353" s="39" t="str">
        <f>_xlfn.XLOOKUP(Table6[[#This Row],[Affected WTG]],'Basic Data'!$A:$A,'Basic Data'!$C:$C)</f>
        <v>MSEDCL</v>
      </c>
      <c r="J353" s="363">
        <f>IFERROR(VLOOKUP(Table6[[#This Row],[Affected WTG]],'Basic Data'!$A$3:$E$56,5,0),"")</f>
        <v>2.564102564102564E-2</v>
      </c>
      <c r="K353" s="121">
        <v>813</v>
      </c>
      <c r="L353" s="39" t="str">
        <f>IFERROR(VLOOKUP(Table6[[#This Row],[Error Code]],'Basic Data'!$T:$U,2,0),"")</f>
        <v>Low Pressure Of Emergency Accumulators</v>
      </c>
      <c r="M353" s="364" t="s">
        <v>462</v>
      </c>
      <c r="O353" s="365">
        <v>0.68333333333333335</v>
      </c>
      <c r="P353" s="365">
        <v>0.70277777777777772</v>
      </c>
      <c r="Q353" s="365">
        <v>0.70416666666666672</v>
      </c>
      <c r="R353" s="366">
        <f>IF(Table6[[#This Row],[Work Start TimeStamp]]="","",(Table6[[#This Row],[Work Start TimeStamp]]-Table6[[#This Row],[Fault Start TimeStamp]])*24)</f>
        <v>0.46666666666666501</v>
      </c>
      <c r="S353" s="367">
        <f>(Table6[[#This Row],[Fault Clearance time]]-Table6[[#This Row],[Work Start TimeStamp]])*24</f>
        <v>3.3333333333335879E-2</v>
      </c>
      <c r="T353" s="368">
        <f>(Table6[[#This Row],[Fault Clearance time]]-Table6[[#This Row],[Fault Start TimeStamp]])*24</f>
        <v>0.50000000000000089</v>
      </c>
      <c r="U353" s="364" t="s">
        <v>493</v>
      </c>
      <c r="V353" s="369" t="s">
        <v>463</v>
      </c>
      <c r="W353" s="354">
        <f>Table6[[#This Row],[Breakdown Time]]*(1/39)</f>
        <v>1.2820512820512843E-2</v>
      </c>
      <c r="X353" s="352" t="s">
        <v>465</v>
      </c>
      <c r="Y353" s="370" t="s">
        <v>119</v>
      </c>
      <c r="Z353" s="121">
        <v>20876</v>
      </c>
      <c r="AA353" s="123">
        <v>434.91666666666748</v>
      </c>
      <c r="AB353" s="121" t="s">
        <v>478</v>
      </c>
    </row>
    <row r="354" spans="1:28">
      <c r="A354" s="121">
        <f t="shared" si="5"/>
        <v>353</v>
      </c>
      <c r="B354" s="123">
        <f>YEAR(Table6[[#This Row],[Date]])+IF(MONTH(Table6[[#This Row],[Date]])&gt;=4,1,0)</f>
        <v>2026</v>
      </c>
      <c r="C354" s="121">
        <f>YEAR(Table6[[#This Row],[Date]])</f>
        <v>2025</v>
      </c>
      <c r="D354" s="121" t="s">
        <v>490</v>
      </c>
      <c r="E354" s="135">
        <f>Table6[[#This Row],[Date]]-DAY(Table6[[#This Row],[Date]])+1</f>
        <v>45748</v>
      </c>
      <c r="F354" s="134">
        <v>45768</v>
      </c>
      <c r="G354" s="121" t="s">
        <v>144</v>
      </c>
      <c r="H354" s="39" t="str">
        <f>_xlfn.XLOOKUP(Table6[[#This Row],[Affected WTG]],'Basic Data'!$A:$A,'Basic Data'!$B:$B)</f>
        <v>PWEGPL</v>
      </c>
      <c r="I354" s="39" t="str">
        <f>_xlfn.XLOOKUP(Table6[[#This Row],[Affected WTG]],'Basic Data'!$A:$A,'Basic Data'!$C:$C)</f>
        <v>MSEDCL</v>
      </c>
      <c r="J354" s="363">
        <f>IFERROR(VLOOKUP(Table6[[#This Row],[Affected WTG]],'Basic Data'!$A$3:$E$56,5,0),"")</f>
        <v>2.564102564102564E-2</v>
      </c>
      <c r="K354" s="121" t="s">
        <v>492</v>
      </c>
      <c r="L354" s="39" t="str">
        <f>IFERROR(VLOOKUP(Table6[[#This Row],[Error Code]],'Basic Data'!$T:$U,2,0),"")</f>
        <v>Manual Stop - Safety Related</v>
      </c>
      <c r="M354" s="364" t="s">
        <v>481</v>
      </c>
      <c r="O354" s="365">
        <v>0</v>
      </c>
      <c r="P354" s="365">
        <v>0.99930555555555556</v>
      </c>
      <c r="Q354" s="365">
        <v>0.99930555555555556</v>
      </c>
      <c r="R354" s="366">
        <f>IF(Table6[[#This Row],[Work Start TimeStamp]]="","",(Table6[[#This Row],[Work Start TimeStamp]]-Table6[[#This Row],[Fault Start TimeStamp]])*24)</f>
        <v>23.983333333333334</v>
      </c>
      <c r="S354" s="367">
        <f>(Table6[[#This Row],[Fault Clearance time]]-Table6[[#This Row],[Work Start TimeStamp]])*24</f>
        <v>0</v>
      </c>
      <c r="T354" s="368">
        <f>(Table6[[#This Row],[Fault Clearance time]]-Table6[[#This Row],[Fault Start TimeStamp]])*24</f>
        <v>23.983333333333334</v>
      </c>
      <c r="U354" s="364" t="s">
        <v>498</v>
      </c>
      <c r="V354" s="369" t="s">
        <v>473</v>
      </c>
      <c r="W354" s="354">
        <f>Table6[[#This Row],[Breakdown Time]]*(1/39)</f>
        <v>0.61495726495726499</v>
      </c>
      <c r="X354" s="352" t="s">
        <v>468</v>
      </c>
      <c r="Y354" s="370" t="s">
        <v>141</v>
      </c>
      <c r="Z354" s="121">
        <v>8034</v>
      </c>
      <c r="AA354" s="123">
        <v>8028.4208333333336</v>
      </c>
      <c r="AB354" s="121" t="s">
        <v>478</v>
      </c>
    </row>
    <row r="355" spans="1:28">
      <c r="A355" s="121">
        <f t="shared" si="5"/>
        <v>354</v>
      </c>
      <c r="B355" s="123">
        <f>YEAR(Table6[[#This Row],[Date]])+IF(MONTH(Table6[[#This Row],[Date]])&gt;=4,1,0)</f>
        <v>2026</v>
      </c>
      <c r="C355" s="121">
        <f>YEAR(Table6[[#This Row],[Date]])</f>
        <v>2025</v>
      </c>
      <c r="D355" s="121" t="s">
        <v>490</v>
      </c>
      <c r="E355" s="135">
        <f>Table6[[#This Row],[Date]]-DAY(Table6[[#This Row],[Date]])+1</f>
        <v>45748</v>
      </c>
      <c r="F355" s="134">
        <v>45768</v>
      </c>
      <c r="G355" s="121" t="s">
        <v>142</v>
      </c>
      <c r="H355" s="39" t="str">
        <f>_xlfn.XLOOKUP(Table6[[#This Row],[Affected WTG]],'Basic Data'!$A:$A,'Basic Data'!$B:$B)</f>
        <v>PWEGPL</v>
      </c>
      <c r="I355" s="39" t="str">
        <f>_xlfn.XLOOKUP(Table6[[#This Row],[Affected WTG]],'Basic Data'!$A:$A,'Basic Data'!$C:$C)</f>
        <v>MSEDCL</v>
      </c>
      <c r="J355" s="363">
        <f>IFERROR(VLOOKUP(Table6[[#This Row],[Affected WTG]],'Basic Data'!$A$3:$E$56,5,0),"")</f>
        <v>2.564102564102564E-2</v>
      </c>
      <c r="K355" s="121" t="s">
        <v>492</v>
      </c>
      <c r="L355" s="39" t="str">
        <f>IFERROR(VLOOKUP(Table6[[#This Row],[Error Code]],'Basic Data'!$T:$U,2,0),"")</f>
        <v>Manual Stop - Safety Related</v>
      </c>
      <c r="M355" s="364" t="s">
        <v>481</v>
      </c>
      <c r="O355" s="365">
        <v>0</v>
      </c>
      <c r="P355" s="365">
        <v>0.99930555555555556</v>
      </c>
      <c r="Q355" s="365">
        <v>0.99930555555555556</v>
      </c>
      <c r="R355" s="366">
        <f>IF(Table6[[#This Row],[Work Start TimeStamp]]="","",(Table6[[#This Row],[Work Start TimeStamp]]-Table6[[#This Row],[Fault Start TimeStamp]])*24)</f>
        <v>23.983333333333334</v>
      </c>
      <c r="S355" s="367">
        <f>(Table6[[#This Row],[Fault Clearance time]]-Table6[[#This Row],[Work Start TimeStamp]])*24</f>
        <v>0</v>
      </c>
      <c r="T355" s="368">
        <f>(Table6[[#This Row],[Fault Clearance time]]-Table6[[#This Row],[Fault Start TimeStamp]])*24</f>
        <v>23.983333333333334</v>
      </c>
      <c r="U355" s="364" t="s">
        <v>498</v>
      </c>
      <c r="V355" s="369" t="s">
        <v>473</v>
      </c>
      <c r="W355" s="354">
        <f>Table6[[#This Row],[Breakdown Time]]*(1/39)</f>
        <v>0.61495726495726499</v>
      </c>
      <c r="X355" s="352" t="s">
        <v>468</v>
      </c>
      <c r="Y355" s="370" t="s">
        <v>141</v>
      </c>
      <c r="Z355" s="121">
        <v>8034</v>
      </c>
      <c r="AA355" s="123">
        <v>8028.4208333333336</v>
      </c>
      <c r="AB355" s="121" t="s">
        <v>478</v>
      </c>
    </row>
    <row r="356" spans="1:28">
      <c r="A356" s="121">
        <f t="shared" si="5"/>
        <v>355</v>
      </c>
      <c r="B356" s="123">
        <f>YEAR(Table6[[#This Row],[Date]])+IF(MONTH(Table6[[#This Row],[Date]])&gt;=4,1,0)</f>
        <v>2026</v>
      </c>
      <c r="C356" s="121">
        <f>YEAR(Table6[[#This Row],[Date]])</f>
        <v>2025</v>
      </c>
      <c r="D356" s="121" t="s">
        <v>490</v>
      </c>
      <c r="E356" s="135">
        <f>Table6[[#This Row],[Date]]-DAY(Table6[[#This Row],[Date]])+1</f>
        <v>45748</v>
      </c>
      <c r="F356" s="134">
        <v>45768</v>
      </c>
      <c r="G356" s="121" t="s">
        <v>130</v>
      </c>
      <c r="H356" s="39" t="str">
        <f>_xlfn.XLOOKUP(Table6[[#This Row],[Affected WTG]],'Basic Data'!$A:$A,'Basic Data'!$B:$B)</f>
        <v>PWEGPL</v>
      </c>
      <c r="I356" s="39" t="str">
        <f>_xlfn.XLOOKUP(Table6[[#This Row],[Affected WTG]],'Basic Data'!$A:$A,'Basic Data'!$C:$C)</f>
        <v>MSEDCL</v>
      </c>
      <c r="J356" s="363">
        <f>IFERROR(VLOOKUP(Table6[[#This Row],[Affected WTG]],'Basic Data'!$A$3:$E$56,5,0),"")</f>
        <v>2.564102564102564E-2</v>
      </c>
      <c r="K356" s="121" t="s">
        <v>487</v>
      </c>
      <c r="L356" s="39" t="str">
        <f>IFERROR(VLOOKUP(Table6[[#This Row],[Error Code]],'Basic Data'!$T:$U,2,0),"")</f>
        <v>General Work Stoppage</v>
      </c>
      <c r="M356" s="364" t="s">
        <v>479</v>
      </c>
      <c r="O356" s="365">
        <v>0.66111111111111109</v>
      </c>
      <c r="P356" s="365">
        <v>0.66111111111111109</v>
      </c>
      <c r="Q356" s="365">
        <v>0.72916666666666663</v>
      </c>
      <c r="R356" s="366">
        <f>IF(Table6[[#This Row],[Work Start TimeStamp]]="","",(Table6[[#This Row],[Work Start TimeStamp]]-Table6[[#This Row],[Fault Start TimeStamp]])*24)</f>
        <v>0</v>
      </c>
      <c r="S356" s="367">
        <f>(Table6[[#This Row],[Fault Clearance time]]-Table6[[#This Row],[Work Start TimeStamp]])*24</f>
        <v>1.6333333333333329</v>
      </c>
      <c r="T356" s="368">
        <f>(Table6[[#This Row],[Fault Clearance time]]-Table6[[#This Row],[Fault Start TimeStamp]])*24</f>
        <v>1.6333333333333329</v>
      </c>
      <c r="U356" s="364" t="s">
        <v>558</v>
      </c>
      <c r="V356" s="369" t="s">
        <v>463</v>
      </c>
      <c r="W356" s="354">
        <f>Table6[[#This Row],[Breakdown Time]]*(1/39)</f>
        <v>4.1880341880341863E-2</v>
      </c>
      <c r="X356" s="352" t="s">
        <v>464</v>
      </c>
      <c r="Y356" s="370" t="s">
        <v>131</v>
      </c>
      <c r="Z356" s="121">
        <v>7749</v>
      </c>
      <c r="AA356" s="123">
        <v>527.36249999999984</v>
      </c>
      <c r="AB356" s="121" t="s">
        <v>478</v>
      </c>
    </row>
    <row r="357" spans="1:28">
      <c r="A357" s="121">
        <f t="shared" si="5"/>
        <v>356</v>
      </c>
      <c r="B357" s="123">
        <f>YEAR(Table6[[#This Row],[Date]])+IF(MONTH(Table6[[#This Row],[Date]])&gt;=4,1,0)</f>
        <v>2026</v>
      </c>
      <c r="C357" s="121">
        <f>YEAR(Table6[[#This Row],[Date]])</f>
        <v>2025</v>
      </c>
      <c r="D357" s="121" t="s">
        <v>490</v>
      </c>
      <c r="E357" s="135">
        <f>Table6[[#This Row],[Date]]-DAY(Table6[[#This Row],[Date]])+1</f>
        <v>45748</v>
      </c>
      <c r="F357" s="134">
        <v>45768</v>
      </c>
      <c r="G357" s="121" t="s">
        <v>145</v>
      </c>
      <c r="H357" s="39" t="str">
        <f>_xlfn.XLOOKUP(Table6[[#This Row],[Affected WTG]],'Basic Data'!$A:$A,'Basic Data'!$B:$B)</f>
        <v>PWEGPL</v>
      </c>
      <c r="I357" s="39" t="str">
        <f>_xlfn.XLOOKUP(Table6[[#This Row],[Affected WTG]],'Basic Data'!$A:$A,'Basic Data'!$C:$C)</f>
        <v>MSEDCL</v>
      </c>
      <c r="J357" s="363">
        <f>IFERROR(VLOOKUP(Table6[[#This Row],[Affected WTG]],'Basic Data'!$A$3:$E$56,5,0),"")</f>
        <v>2.564102564102564E-2</v>
      </c>
      <c r="K357" s="121">
        <v>1824</v>
      </c>
      <c r="L357" s="39" t="str">
        <f>IFERROR(VLOOKUP(Table6[[#This Row],[Error Code]],'Basic Data'!$T:$U,2,0),"")</f>
        <v>Trafo Fan Thermal Relay</v>
      </c>
      <c r="M357" s="364" t="s">
        <v>462</v>
      </c>
      <c r="O357" s="365">
        <v>0.57847222222222228</v>
      </c>
      <c r="P357" s="365">
        <v>0.60763888888888884</v>
      </c>
      <c r="Q357" s="365">
        <v>0.60833333333333328</v>
      </c>
      <c r="R357" s="366">
        <f>IF(Table6[[#This Row],[Work Start TimeStamp]]="","",(Table6[[#This Row],[Work Start TimeStamp]]-Table6[[#This Row],[Fault Start TimeStamp]])*24)</f>
        <v>0.69999999999999751</v>
      </c>
      <c r="S357" s="367">
        <f>(Table6[[#This Row],[Fault Clearance time]]-Table6[[#This Row],[Work Start TimeStamp]])*24</f>
        <v>1.6666666666666607E-2</v>
      </c>
      <c r="T357" s="368">
        <f>(Table6[[#This Row],[Fault Clearance time]]-Table6[[#This Row],[Fault Start TimeStamp]])*24</f>
        <v>0.71666666666666412</v>
      </c>
      <c r="U357" s="364" t="s">
        <v>493</v>
      </c>
      <c r="V357" s="369" t="s">
        <v>463</v>
      </c>
      <c r="W357" s="354">
        <f>Table6[[#This Row],[Breakdown Time]]*(1/39)</f>
        <v>1.8376068376068311E-2</v>
      </c>
      <c r="X357" s="352" t="s">
        <v>465</v>
      </c>
      <c r="Y357" s="370" t="s">
        <v>139</v>
      </c>
      <c r="Z357" s="121">
        <v>8284</v>
      </c>
      <c r="AA357" s="123">
        <v>247.36944444444359</v>
      </c>
      <c r="AB357" s="121" t="s">
        <v>478</v>
      </c>
    </row>
    <row r="358" spans="1:28">
      <c r="A358" s="121">
        <f t="shared" si="5"/>
        <v>357</v>
      </c>
      <c r="B358" s="123">
        <f>YEAR(Table6[[#This Row],[Date]])+IF(MONTH(Table6[[#This Row],[Date]])&gt;=4,1,0)</f>
        <v>2026</v>
      </c>
      <c r="C358" s="121">
        <f>YEAR(Table6[[#This Row],[Date]])</f>
        <v>2025</v>
      </c>
      <c r="D358" s="121" t="s">
        <v>490</v>
      </c>
      <c r="E358" s="135">
        <f>Table6[[#This Row],[Date]]-DAY(Table6[[#This Row],[Date]])+1</f>
        <v>45748</v>
      </c>
      <c r="F358" s="134">
        <v>45768</v>
      </c>
      <c r="G358" s="121" t="s">
        <v>139</v>
      </c>
      <c r="H358" s="39" t="str">
        <f>_xlfn.XLOOKUP(Table6[[#This Row],[Affected WTG]],'Basic Data'!$A:$A,'Basic Data'!$B:$B)</f>
        <v>PWEGPL</v>
      </c>
      <c r="I358" s="39" t="str">
        <f>_xlfn.XLOOKUP(Table6[[#This Row],[Affected WTG]],'Basic Data'!$A:$A,'Basic Data'!$C:$C)</f>
        <v>MSEDCL</v>
      </c>
      <c r="J358" s="363">
        <f>IFERROR(VLOOKUP(Table6[[#This Row],[Affected WTG]],'Basic Data'!$A$3:$E$56,5,0),"")</f>
        <v>2.564102564102564E-2</v>
      </c>
      <c r="K358" s="121">
        <v>1824</v>
      </c>
      <c r="L358" s="39" t="str">
        <f>IFERROR(VLOOKUP(Table6[[#This Row],[Error Code]],'Basic Data'!$T:$U,2,0),"")</f>
        <v>Trafo Fan Thermal Relay</v>
      </c>
      <c r="M358" s="364" t="s">
        <v>462</v>
      </c>
      <c r="O358" s="365">
        <v>0.56388888888888888</v>
      </c>
      <c r="P358" s="365">
        <v>0.61250000000000004</v>
      </c>
      <c r="Q358" s="365">
        <v>0.61319444444444449</v>
      </c>
      <c r="R358" s="366">
        <f>IF(Table6[[#This Row],[Work Start TimeStamp]]="","",(Table6[[#This Row],[Work Start TimeStamp]]-Table6[[#This Row],[Fault Start TimeStamp]])*24)</f>
        <v>1.1666666666666679</v>
      </c>
      <c r="S358" s="367">
        <f>(Table6[[#This Row],[Fault Clearance time]]-Table6[[#This Row],[Work Start TimeStamp]])*24</f>
        <v>1.6666666666666607E-2</v>
      </c>
      <c r="T358" s="368">
        <f>(Table6[[#This Row],[Fault Clearance time]]-Table6[[#This Row],[Fault Start TimeStamp]])*24</f>
        <v>1.1833333333333345</v>
      </c>
      <c r="U358" s="364" t="s">
        <v>493</v>
      </c>
      <c r="V358" s="369" t="s">
        <v>463</v>
      </c>
      <c r="W358" s="354">
        <f>Table6[[#This Row],[Breakdown Time]]*(1/39)</f>
        <v>3.0341880341880369E-2</v>
      </c>
      <c r="X358" s="352" t="s">
        <v>465</v>
      </c>
      <c r="Y358" s="370" t="s">
        <v>153</v>
      </c>
      <c r="Z358" s="121">
        <v>8257</v>
      </c>
      <c r="AA358" s="123">
        <v>407.11597222222264</v>
      </c>
      <c r="AB358" s="121" t="s">
        <v>478</v>
      </c>
    </row>
    <row r="359" spans="1:28">
      <c r="A359" s="121">
        <f t="shared" si="5"/>
        <v>358</v>
      </c>
      <c r="B359" s="123">
        <f>YEAR(Table6[[#This Row],[Date]])+IF(MONTH(Table6[[#This Row],[Date]])&gt;=4,1,0)</f>
        <v>2026</v>
      </c>
      <c r="C359" s="121">
        <f>YEAR(Table6[[#This Row],[Date]])</f>
        <v>2025</v>
      </c>
      <c r="D359" s="121" t="s">
        <v>490</v>
      </c>
      <c r="E359" s="135">
        <f>Table6[[#This Row],[Date]]-DAY(Table6[[#This Row],[Date]])+1</f>
        <v>45748</v>
      </c>
      <c r="F359" s="134">
        <v>45768</v>
      </c>
      <c r="G359" s="121" t="s">
        <v>153</v>
      </c>
      <c r="H359" s="39" t="str">
        <f>_xlfn.XLOOKUP(Table6[[#This Row],[Affected WTG]],'Basic Data'!$A:$A,'Basic Data'!$B:$B)</f>
        <v>PWEGPL</v>
      </c>
      <c r="I359" s="39" t="str">
        <f>_xlfn.XLOOKUP(Table6[[#This Row],[Affected WTG]],'Basic Data'!$A:$A,'Basic Data'!$C:$C)</f>
        <v>MSEDCL</v>
      </c>
      <c r="J359" s="363">
        <f>IFERROR(VLOOKUP(Table6[[#This Row],[Affected WTG]],'Basic Data'!$A$3:$E$56,5,0),"")</f>
        <v>2.564102564102564E-2</v>
      </c>
      <c r="K359" s="121">
        <v>1824</v>
      </c>
      <c r="L359" s="39" t="str">
        <f>IFERROR(VLOOKUP(Table6[[#This Row],[Error Code]],'Basic Data'!$T:$U,2,0),"")</f>
        <v>Trafo Fan Thermal Relay</v>
      </c>
      <c r="M359" s="364" t="s">
        <v>462</v>
      </c>
      <c r="O359" s="365">
        <v>0.58680555555555558</v>
      </c>
      <c r="P359" s="365">
        <v>0.61875000000000002</v>
      </c>
      <c r="Q359" s="365">
        <v>0.61944444444444446</v>
      </c>
      <c r="R359" s="366">
        <f>IF(Table6[[#This Row],[Work Start TimeStamp]]="","",(Table6[[#This Row],[Work Start TimeStamp]]-Table6[[#This Row],[Fault Start TimeStamp]])*24)</f>
        <v>0.76666666666666661</v>
      </c>
      <c r="S359" s="367">
        <f>(Table6[[#This Row],[Fault Clearance time]]-Table6[[#This Row],[Work Start TimeStamp]])*24</f>
        <v>1.6666666666666607E-2</v>
      </c>
      <c r="T359" s="368">
        <f>(Table6[[#This Row],[Fault Clearance time]]-Table6[[#This Row],[Fault Start TimeStamp]])*24</f>
        <v>0.78333333333333321</v>
      </c>
      <c r="U359" s="364" t="s">
        <v>493</v>
      </c>
      <c r="V359" s="369" t="s">
        <v>463</v>
      </c>
      <c r="W359" s="354">
        <f>Table6[[#This Row],[Breakdown Time]]*(1/39)</f>
        <v>2.008547008547008E-2</v>
      </c>
      <c r="X359" s="352" t="s">
        <v>465</v>
      </c>
      <c r="Y359" s="370" t="s">
        <v>152</v>
      </c>
      <c r="Z359" s="121">
        <v>8463</v>
      </c>
      <c r="AA359" s="123">
        <v>276.22291666666661</v>
      </c>
      <c r="AB359" s="121" t="s">
        <v>478</v>
      </c>
    </row>
    <row r="360" spans="1:28">
      <c r="A360" s="121">
        <f t="shared" si="5"/>
        <v>359</v>
      </c>
      <c r="B360" s="123">
        <f>YEAR(Table6[[#This Row],[Date]])+IF(MONTH(Table6[[#This Row],[Date]])&gt;=4,1,0)</f>
        <v>2026</v>
      </c>
      <c r="C360" s="121">
        <f>YEAR(Table6[[#This Row],[Date]])</f>
        <v>2025</v>
      </c>
      <c r="D360" s="121" t="s">
        <v>490</v>
      </c>
      <c r="E360" s="135">
        <f>Table6[[#This Row],[Date]]-DAY(Table6[[#This Row],[Date]])+1</f>
        <v>45748</v>
      </c>
      <c r="F360" s="134">
        <v>45769</v>
      </c>
      <c r="G360" s="121" t="s">
        <v>144</v>
      </c>
      <c r="H360" s="39" t="str">
        <f>_xlfn.XLOOKUP(Table6[[#This Row],[Affected WTG]],'Basic Data'!$A:$A,'Basic Data'!$B:$B)</f>
        <v>PWEGPL</v>
      </c>
      <c r="I360" s="39" t="str">
        <f>_xlfn.XLOOKUP(Table6[[#This Row],[Affected WTG]],'Basic Data'!$A:$A,'Basic Data'!$C:$C)</f>
        <v>MSEDCL</v>
      </c>
      <c r="J360" s="363">
        <f>IFERROR(VLOOKUP(Table6[[#This Row],[Affected WTG]],'Basic Data'!$A$3:$E$56,5,0),"")</f>
        <v>2.564102564102564E-2</v>
      </c>
      <c r="K360" s="121" t="s">
        <v>492</v>
      </c>
      <c r="L360" s="39" t="str">
        <f>IFERROR(VLOOKUP(Table6[[#This Row],[Error Code]],'Basic Data'!$T:$U,2,0),"")</f>
        <v>Manual Stop - Safety Related</v>
      </c>
      <c r="M360" s="364" t="s">
        <v>481</v>
      </c>
      <c r="O360" s="365">
        <v>0</v>
      </c>
      <c r="P360" s="365">
        <v>0.99930555555555556</v>
      </c>
      <c r="Q360" s="365">
        <v>0.99930555555555556</v>
      </c>
      <c r="R360" s="366">
        <f>IF(Table6[[#This Row],[Work Start TimeStamp]]="","",(Table6[[#This Row],[Work Start TimeStamp]]-Table6[[#This Row],[Fault Start TimeStamp]])*24)</f>
        <v>23.983333333333334</v>
      </c>
      <c r="S360" s="367">
        <f>(Table6[[#This Row],[Fault Clearance time]]-Table6[[#This Row],[Work Start TimeStamp]])*24</f>
        <v>0</v>
      </c>
      <c r="T360" s="368">
        <f>(Table6[[#This Row],[Fault Clearance time]]-Table6[[#This Row],[Fault Start TimeStamp]])*24</f>
        <v>23.983333333333334</v>
      </c>
      <c r="U360" s="364" t="s">
        <v>498</v>
      </c>
      <c r="V360" s="369" t="s">
        <v>473</v>
      </c>
      <c r="W360" s="354">
        <f>Table6[[#This Row],[Breakdown Time]]*(1/39)</f>
        <v>0.61495726495726499</v>
      </c>
      <c r="X360" s="352" t="s">
        <v>468</v>
      </c>
      <c r="Y360" s="370" t="s">
        <v>141</v>
      </c>
      <c r="Z360" s="121">
        <v>6332</v>
      </c>
      <c r="AA360" s="123">
        <v>6327.6027777777772</v>
      </c>
      <c r="AB360" s="121" t="s">
        <v>478</v>
      </c>
    </row>
    <row r="361" spans="1:28">
      <c r="A361" s="121">
        <f t="shared" si="5"/>
        <v>360</v>
      </c>
      <c r="B361" s="123">
        <f>YEAR(Table6[[#This Row],[Date]])+IF(MONTH(Table6[[#This Row],[Date]])&gt;=4,1,0)</f>
        <v>2026</v>
      </c>
      <c r="C361" s="121">
        <f>YEAR(Table6[[#This Row],[Date]])</f>
        <v>2025</v>
      </c>
      <c r="D361" s="121" t="s">
        <v>490</v>
      </c>
      <c r="E361" s="135">
        <f>Table6[[#This Row],[Date]]-DAY(Table6[[#This Row],[Date]])+1</f>
        <v>45748</v>
      </c>
      <c r="F361" s="134">
        <v>45769</v>
      </c>
      <c r="G361" s="121" t="s">
        <v>142</v>
      </c>
      <c r="H361" s="39" t="str">
        <f>_xlfn.XLOOKUP(Table6[[#This Row],[Affected WTG]],'Basic Data'!$A:$A,'Basic Data'!$B:$B)</f>
        <v>PWEGPL</v>
      </c>
      <c r="I361" s="39" t="str">
        <f>_xlfn.XLOOKUP(Table6[[#This Row],[Affected WTG]],'Basic Data'!$A:$A,'Basic Data'!$C:$C)</f>
        <v>MSEDCL</v>
      </c>
      <c r="J361" s="363">
        <f>IFERROR(VLOOKUP(Table6[[#This Row],[Affected WTG]],'Basic Data'!$A$3:$E$56,5,0),"")</f>
        <v>2.564102564102564E-2</v>
      </c>
      <c r="K361" s="121" t="s">
        <v>492</v>
      </c>
      <c r="L361" s="39" t="str">
        <f>IFERROR(VLOOKUP(Table6[[#This Row],[Error Code]],'Basic Data'!$T:$U,2,0),"")</f>
        <v>Manual Stop - Safety Related</v>
      </c>
      <c r="M361" s="364" t="s">
        <v>481</v>
      </c>
      <c r="O361" s="365">
        <v>0</v>
      </c>
      <c r="P361" s="365">
        <v>0.99930555555555556</v>
      </c>
      <c r="Q361" s="365">
        <v>0.99930555555555556</v>
      </c>
      <c r="R361" s="366">
        <f>IF(Table6[[#This Row],[Work Start TimeStamp]]="","",(Table6[[#This Row],[Work Start TimeStamp]]-Table6[[#This Row],[Fault Start TimeStamp]])*24)</f>
        <v>23.983333333333334</v>
      </c>
      <c r="S361" s="367">
        <f>(Table6[[#This Row],[Fault Clearance time]]-Table6[[#This Row],[Work Start TimeStamp]])*24</f>
        <v>0</v>
      </c>
      <c r="T361" s="368">
        <f>(Table6[[#This Row],[Fault Clearance time]]-Table6[[#This Row],[Fault Start TimeStamp]])*24</f>
        <v>23.983333333333334</v>
      </c>
      <c r="U361" s="364" t="s">
        <v>498</v>
      </c>
      <c r="V361" s="369" t="s">
        <v>473</v>
      </c>
      <c r="W361" s="354">
        <f>Table6[[#This Row],[Breakdown Time]]*(1/39)</f>
        <v>0.61495726495726499</v>
      </c>
      <c r="X361" s="352" t="s">
        <v>468</v>
      </c>
      <c r="Y361" s="370" t="s">
        <v>141</v>
      </c>
      <c r="Z361" s="121">
        <v>6332</v>
      </c>
      <c r="AA361" s="123">
        <v>6327.6027777777772</v>
      </c>
      <c r="AB361" s="121" t="s">
        <v>478</v>
      </c>
    </row>
    <row r="362" spans="1:28">
      <c r="A362" s="121">
        <f t="shared" si="5"/>
        <v>361</v>
      </c>
      <c r="B362" s="123">
        <f>YEAR(Table6[[#This Row],[Date]])+IF(MONTH(Table6[[#This Row],[Date]])&gt;=4,1,0)</f>
        <v>2026</v>
      </c>
      <c r="C362" s="121">
        <f>YEAR(Table6[[#This Row],[Date]])</f>
        <v>2025</v>
      </c>
      <c r="D362" s="121" t="s">
        <v>490</v>
      </c>
      <c r="E362" s="135">
        <f>Table6[[#This Row],[Date]]-DAY(Table6[[#This Row],[Date]])+1</f>
        <v>45748</v>
      </c>
      <c r="F362" s="134">
        <v>45769</v>
      </c>
      <c r="G362" s="121" t="s">
        <v>120</v>
      </c>
      <c r="H362" s="39" t="str">
        <f>_xlfn.XLOOKUP(Table6[[#This Row],[Affected WTG]],'Basic Data'!$A:$A,'Basic Data'!$B:$B)</f>
        <v>PWEGPL</v>
      </c>
      <c r="I362" s="39" t="str">
        <f>_xlfn.XLOOKUP(Table6[[#This Row],[Affected WTG]],'Basic Data'!$A:$A,'Basic Data'!$C:$C)</f>
        <v>MSEDCL</v>
      </c>
      <c r="J362" s="363">
        <f>IFERROR(VLOOKUP(Table6[[#This Row],[Affected WTG]],'Basic Data'!$A$3:$E$56,5,0),"")</f>
        <v>2.564102564102564E-2</v>
      </c>
      <c r="K362" s="121">
        <v>2118</v>
      </c>
      <c r="L362" s="39" t="str">
        <f>IFERROR(VLOOKUP(Table6[[#This Row],[Error Code]],'Basic Data'!$T:$U,2,0),"")</f>
        <v>Bus Error - Interbus Failure</v>
      </c>
      <c r="M362" s="364" t="s">
        <v>462</v>
      </c>
      <c r="O362" s="365">
        <v>0.30138888888888887</v>
      </c>
      <c r="P362" s="365">
        <v>0.33402777777777776</v>
      </c>
      <c r="Q362" s="365">
        <v>0.33541666666666664</v>
      </c>
      <c r="R362" s="366">
        <f>IF(Table6[[#This Row],[Work Start TimeStamp]]="","",(Table6[[#This Row],[Work Start TimeStamp]]-Table6[[#This Row],[Fault Start TimeStamp]])*24)</f>
        <v>0.78333333333333321</v>
      </c>
      <c r="S362" s="367">
        <f>(Table6[[#This Row],[Fault Clearance time]]-Table6[[#This Row],[Work Start TimeStamp]])*24</f>
        <v>3.3333333333333215E-2</v>
      </c>
      <c r="T362" s="368">
        <f>(Table6[[#This Row],[Fault Clearance time]]-Table6[[#This Row],[Fault Start TimeStamp]])*24</f>
        <v>0.81666666666666643</v>
      </c>
      <c r="U362" s="364" t="s">
        <v>491</v>
      </c>
      <c r="V362" s="369" t="s">
        <v>463</v>
      </c>
      <c r="W362" s="354">
        <f>Table6[[#This Row],[Breakdown Time]]*(1/39)</f>
        <v>2.0940170940170932E-2</v>
      </c>
      <c r="X362" s="352" t="s">
        <v>465</v>
      </c>
      <c r="Y362" s="370" t="s">
        <v>117</v>
      </c>
      <c r="Z362" s="121">
        <v>4367</v>
      </c>
      <c r="AA362" s="123">
        <v>148.59930555555553</v>
      </c>
      <c r="AB362" s="121" t="s">
        <v>478</v>
      </c>
    </row>
    <row r="363" spans="1:28">
      <c r="A363" s="121">
        <f t="shared" si="5"/>
        <v>362</v>
      </c>
      <c r="B363" s="123">
        <f>YEAR(Table6[[#This Row],[Date]])+IF(MONTH(Table6[[#This Row],[Date]])&gt;=4,1,0)</f>
        <v>2026</v>
      </c>
      <c r="C363" s="121">
        <f>YEAR(Table6[[#This Row],[Date]])</f>
        <v>2025</v>
      </c>
      <c r="D363" s="121" t="s">
        <v>490</v>
      </c>
      <c r="E363" s="135">
        <f>Table6[[#This Row],[Date]]-DAY(Table6[[#This Row],[Date]])+1</f>
        <v>45748</v>
      </c>
      <c r="F363" s="134">
        <v>45769</v>
      </c>
      <c r="G363" s="121" t="s">
        <v>120</v>
      </c>
      <c r="H363" s="39" t="str">
        <f>_xlfn.XLOOKUP(Table6[[#This Row],[Affected WTG]],'Basic Data'!$A:$A,'Basic Data'!$B:$B)</f>
        <v>PWEGPL</v>
      </c>
      <c r="I363" s="39" t="str">
        <f>_xlfn.XLOOKUP(Table6[[#This Row],[Affected WTG]],'Basic Data'!$A:$A,'Basic Data'!$C:$C)</f>
        <v>MSEDCL</v>
      </c>
      <c r="J363" s="363">
        <f>IFERROR(VLOOKUP(Table6[[#This Row],[Affected WTG]],'Basic Data'!$A$3:$E$56,5,0),"")</f>
        <v>2.564102564102564E-2</v>
      </c>
      <c r="K363" s="121">
        <v>2118</v>
      </c>
      <c r="L363" s="39" t="str">
        <f>IFERROR(VLOOKUP(Table6[[#This Row],[Error Code]],'Basic Data'!$T:$U,2,0),"")</f>
        <v>Bus Error - Interbus Failure</v>
      </c>
      <c r="M363" s="364" t="s">
        <v>462</v>
      </c>
      <c r="O363" s="365">
        <v>0.59027777777777779</v>
      </c>
      <c r="P363" s="365">
        <v>0.61319444444444449</v>
      </c>
      <c r="Q363" s="365">
        <v>0.61458333333333337</v>
      </c>
      <c r="R363" s="366">
        <f>IF(Table6[[#This Row],[Work Start TimeStamp]]="","",(Table6[[#This Row],[Work Start TimeStamp]]-Table6[[#This Row],[Fault Start TimeStamp]])*24)</f>
        <v>0.55000000000000071</v>
      </c>
      <c r="S363" s="367">
        <f>(Table6[[#This Row],[Fault Clearance time]]-Table6[[#This Row],[Work Start TimeStamp]])*24</f>
        <v>3.3333333333333215E-2</v>
      </c>
      <c r="T363" s="368">
        <f>(Table6[[#This Row],[Fault Clearance time]]-Table6[[#This Row],[Fault Start TimeStamp]])*24</f>
        <v>0.58333333333333393</v>
      </c>
      <c r="U363" s="364" t="s">
        <v>491</v>
      </c>
      <c r="V363" s="369" t="s">
        <v>463</v>
      </c>
      <c r="W363" s="354">
        <f>Table6[[#This Row],[Breakdown Time]]*(1/39)</f>
        <v>1.4957264957264972E-2</v>
      </c>
      <c r="X363" s="352" t="s">
        <v>465</v>
      </c>
      <c r="Y363" s="370" t="s">
        <v>117</v>
      </c>
      <c r="Z363" s="121">
        <v>4367</v>
      </c>
      <c r="AA363" s="123">
        <v>106.14236111111123</v>
      </c>
      <c r="AB363" s="121" t="s">
        <v>478</v>
      </c>
    </row>
    <row r="364" spans="1:28">
      <c r="A364" s="121">
        <f t="shared" si="5"/>
        <v>363</v>
      </c>
      <c r="B364" s="123">
        <f>YEAR(Table6[[#This Row],[Date]])+IF(MONTH(Table6[[#This Row],[Date]])&gt;=4,1,0)</f>
        <v>2026</v>
      </c>
      <c r="C364" s="121">
        <f>YEAR(Table6[[#This Row],[Date]])</f>
        <v>2025</v>
      </c>
      <c r="D364" s="121" t="s">
        <v>490</v>
      </c>
      <c r="E364" s="135">
        <f>Table6[[#This Row],[Date]]-DAY(Table6[[#This Row],[Date]])+1</f>
        <v>45748</v>
      </c>
      <c r="F364" s="134">
        <v>45769</v>
      </c>
      <c r="G364" s="121" t="s">
        <v>127</v>
      </c>
      <c r="H364" s="39" t="str">
        <f>_xlfn.XLOOKUP(Table6[[#This Row],[Affected WTG]],'Basic Data'!$A:$A,'Basic Data'!$B:$B)</f>
        <v>PWEGPL</v>
      </c>
      <c r="I364" s="39" t="str">
        <f>_xlfn.XLOOKUP(Table6[[#This Row],[Affected WTG]],'Basic Data'!$A:$A,'Basic Data'!$C:$C)</f>
        <v>MSEDCL</v>
      </c>
      <c r="J364" s="363">
        <f>IFERROR(VLOOKUP(Table6[[#This Row],[Affected WTG]],'Basic Data'!$A$3:$E$56,5,0),"")</f>
        <v>2.564102564102564E-2</v>
      </c>
      <c r="K364" s="121" t="s">
        <v>466</v>
      </c>
      <c r="L364" s="39" t="str">
        <f>IFERROR(VLOOKUP(Table6[[#This Row],[Error Code]],'Basic Data'!$T:$U,2,0),"")</f>
        <v>Manual Stop</v>
      </c>
      <c r="M364" s="364" t="s">
        <v>479</v>
      </c>
      <c r="O364" s="365">
        <v>0.44305555555555554</v>
      </c>
      <c r="P364" s="365">
        <v>0.44305555555555554</v>
      </c>
      <c r="Q364" s="365">
        <v>0.51527777777777772</v>
      </c>
      <c r="R364" s="366">
        <f>IF(Table6[[#This Row],[Work Start TimeStamp]]="","",(Table6[[#This Row],[Work Start TimeStamp]]-Table6[[#This Row],[Fault Start TimeStamp]])*24)</f>
        <v>0</v>
      </c>
      <c r="S364" s="367">
        <f>(Table6[[#This Row],[Fault Clearance time]]-Table6[[#This Row],[Work Start TimeStamp]])*24</f>
        <v>1.7333333333333325</v>
      </c>
      <c r="T364" s="368">
        <f>(Table6[[#This Row],[Fault Clearance time]]-Table6[[#This Row],[Fault Start TimeStamp]])*24</f>
        <v>1.7333333333333325</v>
      </c>
      <c r="U364" s="364" t="s">
        <v>559</v>
      </c>
      <c r="V364" s="369" t="s">
        <v>463</v>
      </c>
      <c r="W364" s="354">
        <f>Table6[[#This Row],[Breakdown Time]]*(1/39)</f>
        <v>4.4444444444444418E-2</v>
      </c>
      <c r="X364" s="352" t="s">
        <v>464</v>
      </c>
      <c r="Y364" s="370" t="s">
        <v>128</v>
      </c>
      <c r="Z364" s="121">
        <v>6342</v>
      </c>
      <c r="AA364" s="123">
        <v>458.03333333333313</v>
      </c>
      <c r="AB364" s="121" t="s">
        <v>478</v>
      </c>
    </row>
    <row r="365" spans="1:28">
      <c r="A365" s="121">
        <f t="shared" si="5"/>
        <v>364</v>
      </c>
      <c r="B365" s="123">
        <f>YEAR(Table6[[#This Row],[Date]])+IF(MONTH(Table6[[#This Row],[Date]])&gt;=4,1,0)</f>
        <v>2026</v>
      </c>
      <c r="C365" s="121">
        <f>YEAR(Table6[[#This Row],[Date]])</f>
        <v>2025</v>
      </c>
      <c r="D365" s="121" t="s">
        <v>490</v>
      </c>
      <c r="E365" s="135">
        <f>Table6[[#This Row],[Date]]-DAY(Table6[[#This Row],[Date]])+1</f>
        <v>45748</v>
      </c>
      <c r="F365" s="134">
        <v>45769</v>
      </c>
      <c r="G365" s="121" t="s">
        <v>145</v>
      </c>
      <c r="H365" s="39" t="str">
        <f>_xlfn.XLOOKUP(Table6[[#This Row],[Affected WTG]],'Basic Data'!$A:$A,'Basic Data'!$B:$B)</f>
        <v>PWEGPL</v>
      </c>
      <c r="I365" s="39" t="str">
        <f>_xlfn.XLOOKUP(Table6[[#This Row],[Affected WTG]],'Basic Data'!$A:$A,'Basic Data'!$C:$C)</f>
        <v>MSEDCL</v>
      </c>
      <c r="J365" s="363">
        <f>IFERROR(VLOOKUP(Table6[[#This Row],[Affected WTG]],'Basic Data'!$A$3:$E$56,5,0),"")</f>
        <v>2.564102564102564E-2</v>
      </c>
      <c r="K365" s="121" t="s">
        <v>466</v>
      </c>
      <c r="L365" s="39" t="str">
        <f>IFERROR(VLOOKUP(Table6[[#This Row],[Error Code]],'Basic Data'!$T:$U,2,0),"")</f>
        <v>Manual Stop</v>
      </c>
      <c r="M365" s="364" t="s">
        <v>479</v>
      </c>
      <c r="O365" s="365">
        <v>0.46250000000000002</v>
      </c>
      <c r="P365" s="365">
        <v>0.46250000000000002</v>
      </c>
      <c r="Q365" s="365">
        <v>0.67638888888888893</v>
      </c>
      <c r="R365" s="366">
        <f>IF(Table6[[#This Row],[Work Start TimeStamp]]="","",(Table6[[#This Row],[Work Start TimeStamp]]-Table6[[#This Row],[Fault Start TimeStamp]])*24)</f>
        <v>0</v>
      </c>
      <c r="S365" s="367">
        <f>(Table6[[#This Row],[Fault Clearance time]]-Table6[[#This Row],[Work Start TimeStamp]])*24</f>
        <v>5.1333333333333337</v>
      </c>
      <c r="T365" s="368">
        <f>(Table6[[#This Row],[Fault Clearance time]]-Table6[[#This Row],[Fault Start TimeStamp]])*24</f>
        <v>5.1333333333333337</v>
      </c>
      <c r="U365" s="364" t="s">
        <v>560</v>
      </c>
      <c r="V365" s="369" t="s">
        <v>463</v>
      </c>
      <c r="W365" s="354">
        <f>Table6[[#This Row],[Breakdown Time]]*(1/39)</f>
        <v>0.13162393162393163</v>
      </c>
      <c r="X365" s="352" t="s">
        <v>464</v>
      </c>
      <c r="Y365" s="370" t="s">
        <v>139</v>
      </c>
      <c r="Z365" s="121">
        <v>6450</v>
      </c>
      <c r="AA365" s="123">
        <v>1379.5833333333335</v>
      </c>
      <c r="AB365" s="121" t="s">
        <v>478</v>
      </c>
    </row>
    <row r="366" spans="1:28">
      <c r="A366" s="121">
        <f t="shared" si="5"/>
        <v>365</v>
      </c>
      <c r="B366" s="123">
        <f>YEAR(Table6[[#This Row],[Date]])+IF(MONTH(Table6[[#This Row],[Date]])&gt;=4,1,0)</f>
        <v>2026</v>
      </c>
      <c r="C366" s="121">
        <f>YEAR(Table6[[#This Row],[Date]])</f>
        <v>2025</v>
      </c>
      <c r="D366" s="121" t="s">
        <v>490</v>
      </c>
      <c r="E366" s="135">
        <f>Table6[[#This Row],[Date]]-DAY(Table6[[#This Row],[Date]])+1</f>
        <v>45748</v>
      </c>
      <c r="F366" s="134">
        <v>45769</v>
      </c>
      <c r="G366" s="121" t="s">
        <v>146</v>
      </c>
      <c r="H366" s="39" t="str">
        <f>_xlfn.XLOOKUP(Table6[[#This Row],[Affected WTG]],'Basic Data'!$A:$A,'Basic Data'!$B:$B)</f>
        <v>PWEGPL</v>
      </c>
      <c r="I366" s="39" t="str">
        <f>_xlfn.XLOOKUP(Table6[[#This Row],[Affected WTG]],'Basic Data'!$A:$A,'Basic Data'!$C:$C)</f>
        <v>MSEDCL</v>
      </c>
      <c r="J366" s="363">
        <f>IFERROR(VLOOKUP(Table6[[#This Row],[Affected WTG]],'Basic Data'!$A$3:$E$56,5,0),"")</f>
        <v>2.564102564102564E-2</v>
      </c>
      <c r="K366" s="121">
        <v>2118</v>
      </c>
      <c r="L366" s="39" t="str">
        <f>IFERROR(VLOOKUP(Table6[[#This Row],[Error Code]],'Basic Data'!$T:$U,2,0),"")</f>
        <v>Bus Error - Interbus Failure</v>
      </c>
      <c r="M366" s="364" t="s">
        <v>462</v>
      </c>
      <c r="O366" s="365">
        <v>0.71527777777777779</v>
      </c>
      <c r="P366" s="365">
        <v>0.73958333333333337</v>
      </c>
      <c r="Q366" s="365">
        <v>0.74305555555555558</v>
      </c>
      <c r="R366" s="366">
        <f>IF(Table6[[#This Row],[Work Start TimeStamp]]="","",(Table6[[#This Row],[Work Start TimeStamp]]-Table6[[#This Row],[Fault Start TimeStamp]])*24)</f>
        <v>0.58333333333333393</v>
      </c>
      <c r="S366" s="367">
        <f>(Table6[[#This Row],[Fault Clearance time]]-Table6[[#This Row],[Work Start TimeStamp]])*24</f>
        <v>8.3333333333333037E-2</v>
      </c>
      <c r="T366" s="368">
        <f>(Table6[[#This Row],[Fault Clearance time]]-Table6[[#This Row],[Fault Start TimeStamp]])*24</f>
        <v>0.66666666666666696</v>
      </c>
      <c r="U366" s="364" t="s">
        <v>491</v>
      </c>
      <c r="V366" s="369" t="s">
        <v>463</v>
      </c>
      <c r="W366" s="354">
        <f>Table6[[#This Row],[Breakdown Time]]*(1/39)</f>
        <v>1.7094017094017103E-2</v>
      </c>
      <c r="X366" s="352" t="s">
        <v>465</v>
      </c>
      <c r="Y366" s="370" t="s">
        <v>147</v>
      </c>
      <c r="Z366" s="121">
        <v>6487</v>
      </c>
      <c r="AA366" s="123">
        <v>180.19444444444454</v>
      </c>
      <c r="AB366" s="121" t="s">
        <v>478</v>
      </c>
    </row>
    <row r="367" spans="1:28">
      <c r="A367" s="121">
        <f t="shared" si="5"/>
        <v>366</v>
      </c>
      <c r="B367" s="123">
        <f>YEAR(Table6[[#This Row],[Date]])+IF(MONTH(Table6[[#This Row],[Date]])&gt;=4,1,0)</f>
        <v>2026</v>
      </c>
      <c r="C367" s="121">
        <f>YEAR(Table6[[#This Row],[Date]])</f>
        <v>2025</v>
      </c>
      <c r="D367" s="121" t="s">
        <v>490</v>
      </c>
      <c r="E367" s="135">
        <f>Table6[[#This Row],[Date]]-DAY(Table6[[#This Row],[Date]])+1</f>
        <v>45748</v>
      </c>
      <c r="F367" s="134">
        <v>45770</v>
      </c>
      <c r="G367" s="121" t="s">
        <v>144</v>
      </c>
      <c r="H367" s="39" t="str">
        <f>_xlfn.XLOOKUP(Table6[[#This Row],[Affected WTG]],'Basic Data'!$A:$A,'Basic Data'!$B:$B)</f>
        <v>PWEGPL</v>
      </c>
      <c r="I367" s="39" t="str">
        <f>_xlfn.XLOOKUP(Table6[[#This Row],[Affected WTG]],'Basic Data'!$A:$A,'Basic Data'!$C:$C)</f>
        <v>MSEDCL</v>
      </c>
      <c r="J367" s="363">
        <f>IFERROR(VLOOKUP(Table6[[#This Row],[Affected WTG]],'Basic Data'!$A$3:$E$56,5,0),"")</f>
        <v>2.564102564102564E-2</v>
      </c>
      <c r="K367" s="121" t="s">
        <v>492</v>
      </c>
      <c r="L367" s="39" t="str">
        <f>IFERROR(VLOOKUP(Table6[[#This Row],[Error Code]],'Basic Data'!$T:$U,2,0),"")</f>
        <v>Manual Stop - Safety Related</v>
      </c>
      <c r="M367" s="364" t="s">
        <v>481</v>
      </c>
      <c r="O367" s="365">
        <v>0</v>
      </c>
      <c r="P367" s="365">
        <v>0.99930555555555556</v>
      </c>
      <c r="Q367" s="365">
        <v>0.99930555555555556</v>
      </c>
      <c r="R367" s="366">
        <f>IF(Table6[[#This Row],[Work Start TimeStamp]]="","",(Table6[[#This Row],[Work Start TimeStamp]]-Table6[[#This Row],[Fault Start TimeStamp]])*24)</f>
        <v>23.983333333333334</v>
      </c>
      <c r="S367" s="367">
        <f>(Table6[[#This Row],[Fault Clearance time]]-Table6[[#This Row],[Work Start TimeStamp]])*24</f>
        <v>0</v>
      </c>
      <c r="T367" s="368">
        <f>(Table6[[#This Row],[Fault Clearance time]]-Table6[[#This Row],[Fault Start TimeStamp]])*24</f>
        <v>23.983333333333334</v>
      </c>
      <c r="U367" s="364" t="s">
        <v>498</v>
      </c>
      <c r="V367" s="369" t="s">
        <v>473</v>
      </c>
      <c r="W367" s="354">
        <f>Table6[[#This Row],[Breakdown Time]]*(1/39)</f>
        <v>0.61495726495726499</v>
      </c>
      <c r="X367" s="352" t="s">
        <v>468</v>
      </c>
      <c r="Y367" s="370" t="s">
        <v>141</v>
      </c>
      <c r="Z367" s="121">
        <v>3178</v>
      </c>
      <c r="AA367" s="123">
        <v>3175.7930555555554</v>
      </c>
      <c r="AB367" s="121" t="s">
        <v>478</v>
      </c>
    </row>
    <row r="368" spans="1:28">
      <c r="A368" s="121">
        <f t="shared" si="5"/>
        <v>367</v>
      </c>
      <c r="B368" s="123">
        <f>YEAR(Table6[[#This Row],[Date]])+IF(MONTH(Table6[[#This Row],[Date]])&gt;=4,1,0)</f>
        <v>2026</v>
      </c>
      <c r="C368" s="121">
        <f>YEAR(Table6[[#This Row],[Date]])</f>
        <v>2025</v>
      </c>
      <c r="D368" s="121" t="s">
        <v>490</v>
      </c>
      <c r="E368" s="135">
        <f>Table6[[#This Row],[Date]]-DAY(Table6[[#This Row],[Date]])+1</f>
        <v>45748</v>
      </c>
      <c r="F368" s="134">
        <v>45770</v>
      </c>
      <c r="G368" s="121" t="s">
        <v>142</v>
      </c>
      <c r="H368" s="39" t="str">
        <f>_xlfn.XLOOKUP(Table6[[#This Row],[Affected WTG]],'Basic Data'!$A:$A,'Basic Data'!$B:$B)</f>
        <v>PWEGPL</v>
      </c>
      <c r="I368" s="39" t="str">
        <f>_xlfn.XLOOKUP(Table6[[#This Row],[Affected WTG]],'Basic Data'!$A:$A,'Basic Data'!$C:$C)</f>
        <v>MSEDCL</v>
      </c>
      <c r="J368" s="363">
        <f>IFERROR(VLOOKUP(Table6[[#This Row],[Affected WTG]],'Basic Data'!$A$3:$E$56,5,0),"")</f>
        <v>2.564102564102564E-2</v>
      </c>
      <c r="K368" s="121" t="s">
        <v>492</v>
      </c>
      <c r="L368" s="39" t="str">
        <f>IFERROR(VLOOKUP(Table6[[#This Row],[Error Code]],'Basic Data'!$T:$U,2,0),"")</f>
        <v>Manual Stop - Safety Related</v>
      </c>
      <c r="M368" s="364" t="s">
        <v>481</v>
      </c>
      <c r="O368" s="365">
        <v>0</v>
      </c>
      <c r="P368" s="365">
        <v>0.99930555555555556</v>
      </c>
      <c r="Q368" s="365">
        <v>0.99930555555555556</v>
      </c>
      <c r="R368" s="366">
        <f>IF(Table6[[#This Row],[Work Start TimeStamp]]="","",(Table6[[#This Row],[Work Start TimeStamp]]-Table6[[#This Row],[Fault Start TimeStamp]])*24)</f>
        <v>23.983333333333334</v>
      </c>
      <c r="S368" s="367">
        <f>(Table6[[#This Row],[Fault Clearance time]]-Table6[[#This Row],[Work Start TimeStamp]])*24</f>
        <v>0</v>
      </c>
      <c r="T368" s="368">
        <f>(Table6[[#This Row],[Fault Clearance time]]-Table6[[#This Row],[Fault Start TimeStamp]])*24</f>
        <v>23.983333333333334</v>
      </c>
      <c r="U368" s="364" t="s">
        <v>498</v>
      </c>
      <c r="V368" s="369" t="s">
        <v>473</v>
      </c>
      <c r="W368" s="354">
        <f>Table6[[#This Row],[Breakdown Time]]*(1/39)</f>
        <v>0.61495726495726499</v>
      </c>
      <c r="X368" s="352" t="s">
        <v>468</v>
      </c>
      <c r="Y368" s="370" t="s">
        <v>141</v>
      </c>
      <c r="Z368" s="121">
        <v>3178</v>
      </c>
      <c r="AA368" s="123">
        <v>3175.7930555555554</v>
      </c>
      <c r="AB368" s="121" t="s">
        <v>478</v>
      </c>
    </row>
    <row r="369" spans="1:28">
      <c r="A369" s="121">
        <f t="shared" si="5"/>
        <v>368</v>
      </c>
      <c r="B369" s="123">
        <f>YEAR(Table6[[#This Row],[Date]])+IF(MONTH(Table6[[#This Row],[Date]])&gt;=4,1,0)</f>
        <v>2026</v>
      </c>
      <c r="C369" s="121">
        <f>YEAR(Table6[[#This Row],[Date]])</f>
        <v>2025</v>
      </c>
      <c r="D369" s="121" t="s">
        <v>490</v>
      </c>
      <c r="E369" s="135">
        <f>Table6[[#This Row],[Date]]-DAY(Table6[[#This Row],[Date]])+1</f>
        <v>45748</v>
      </c>
      <c r="F369" s="134">
        <v>45770</v>
      </c>
      <c r="G369" s="121" t="s">
        <v>133</v>
      </c>
      <c r="H369" s="39" t="str">
        <f>_xlfn.XLOOKUP(Table6[[#This Row],[Affected WTG]],'Basic Data'!$A:$A,'Basic Data'!$B:$B)</f>
        <v>PWEGPL</v>
      </c>
      <c r="I369" s="39" t="str">
        <f>_xlfn.XLOOKUP(Table6[[#This Row],[Affected WTG]],'Basic Data'!$A:$A,'Basic Data'!$C:$C)</f>
        <v>MSEDCL</v>
      </c>
      <c r="J369" s="363">
        <f>IFERROR(VLOOKUP(Table6[[#This Row],[Affected WTG]],'Basic Data'!$A$3:$E$56,5,0),"")</f>
        <v>2.564102564102564E-2</v>
      </c>
      <c r="K369" s="121">
        <v>118</v>
      </c>
      <c r="L369" s="39" t="str">
        <f>IFERROR(VLOOKUP(Table6[[#This Row],[Error Code]],'Basic Data'!$T:$U,2,0),"")</f>
        <v>Yaw Motors Error</v>
      </c>
      <c r="M369" s="364" t="s">
        <v>462</v>
      </c>
      <c r="O369" s="365">
        <v>0.76041666666666663</v>
      </c>
      <c r="P369" s="365">
        <v>0.78402777777777777</v>
      </c>
      <c r="Q369" s="365">
        <v>0.78472222222222221</v>
      </c>
      <c r="R369" s="366">
        <f>IF(Table6[[#This Row],[Work Start TimeStamp]]="","",(Table6[[#This Row],[Work Start TimeStamp]]-Table6[[#This Row],[Fault Start TimeStamp]])*24)</f>
        <v>0.56666666666666732</v>
      </c>
      <c r="S369" s="367">
        <f>(Table6[[#This Row],[Fault Clearance time]]-Table6[[#This Row],[Work Start TimeStamp]])*24</f>
        <v>1.6666666666666607E-2</v>
      </c>
      <c r="T369" s="368">
        <f>(Table6[[#This Row],[Fault Clearance time]]-Table6[[#This Row],[Fault Start TimeStamp]])*24</f>
        <v>0.58333333333333393</v>
      </c>
      <c r="U369" s="364" t="s">
        <v>493</v>
      </c>
      <c r="V369" s="369" t="s">
        <v>463</v>
      </c>
      <c r="W369" s="354">
        <f>Table6[[#This Row],[Breakdown Time]]*(1/39)</f>
        <v>1.4957264957264972E-2</v>
      </c>
      <c r="X369" s="352" t="s">
        <v>465</v>
      </c>
      <c r="Y369" s="370" t="s">
        <v>132</v>
      </c>
      <c r="Z369" s="121">
        <v>3957</v>
      </c>
      <c r="AA369" s="123">
        <v>96.177083333333428</v>
      </c>
      <c r="AB369" s="121" t="s">
        <v>478</v>
      </c>
    </row>
    <row r="370" spans="1:28">
      <c r="A370" s="121">
        <f t="shared" si="5"/>
        <v>369</v>
      </c>
      <c r="B370" s="123">
        <f>YEAR(Table6[[#This Row],[Date]])+IF(MONTH(Table6[[#This Row],[Date]])&gt;=4,1,0)</f>
        <v>2026</v>
      </c>
      <c r="C370" s="121">
        <f>YEAR(Table6[[#This Row],[Date]])</f>
        <v>2025</v>
      </c>
      <c r="D370" s="121" t="s">
        <v>490</v>
      </c>
      <c r="E370" s="135">
        <f>Table6[[#This Row],[Date]]-DAY(Table6[[#This Row],[Date]])+1</f>
        <v>45748</v>
      </c>
      <c r="F370" s="134">
        <v>45770</v>
      </c>
      <c r="G370" s="121" t="s">
        <v>136</v>
      </c>
      <c r="H370" s="39" t="str">
        <f>_xlfn.XLOOKUP(Table6[[#This Row],[Affected WTG]],'Basic Data'!$A:$A,'Basic Data'!$B:$B)</f>
        <v>PWEGPL</v>
      </c>
      <c r="I370" s="39" t="str">
        <f>_xlfn.XLOOKUP(Table6[[#This Row],[Affected WTG]],'Basic Data'!$A:$A,'Basic Data'!$C:$C)</f>
        <v>MSEDCL</v>
      </c>
      <c r="J370" s="363">
        <f>IFERROR(VLOOKUP(Table6[[#This Row],[Affected WTG]],'Basic Data'!$A$3:$E$56,5,0),"")</f>
        <v>2.564102564102564E-2</v>
      </c>
      <c r="K370" s="121">
        <v>813</v>
      </c>
      <c r="L370" s="39" t="str">
        <f>IFERROR(VLOOKUP(Table6[[#This Row],[Error Code]],'Basic Data'!$T:$U,2,0),"")</f>
        <v>Low Pressure Of Emergency Accumulators</v>
      </c>
      <c r="M370" s="364" t="s">
        <v>462</v>
      </c>
      <c r="O370" s="365">
        <v>0.75138888888888888</v>
      </c>
      <c r="P370" s="365">
        <v>0.78819444444444442</v>
      </c>
      <c r="Q370" s="365">
        <v>0.78888888888888886</v>
      </c>
      <c r="R370" s="366">
        <f>IF(Table6[[#This Row],[Work Start TimeStamp]]="","",(Table6[[#This Row],[Work Start TimeStamp]]-Table6[[#This Row],[Fault Start TimeStamp]])*24)</f>
        <v>0.88333333333333286</v>
      </c>
      <c r="S370" s="367">
        <f>(Table6[[#This Row],[Fault Clearance time]]-Table6[[#This Row],[Work Start TimeStamp]])*24</f>
        <v>1.6666666666666607E-2</v>
      </c>
      <c r="T370" s="368">
        <f>(Table6[[#This Row],[Fault Clearance time]]-Table6[[#This Row],[Fault Start TimeStamp]])*24</f>
        <v>0.89999999999999947</v>
      </c>
      <c r="U370" s="364" t="s">
        <v>493</v>
      </c>
      <c r="V370" s="369" t="s">
        <v>463</v>
      </c>
      <c r="W370" s="354">
        <f>Table6[[#This Row],[Breakdown Time]]*(1/39)</f>
        <v>2.3076923076923061E-2</v>
      </c>
      <c r="X370" s="352" t="s">
        <v>465</v>
      </c>
      <c r="Y370" s="370" t="s">
        <v>119</v>
      </c>
      <c r="Z370" s="121">
        <v>3153</v>
      </c>
      <c r="AA370" s="123">
        <v>118.23749999999993</v>
      </c>
      <c r="AB370" s="121" t="s">
        <v>478</v>
      </c>
    </row>
    <row r="371" spans="1:28">
      <c r="A371" s="121">
        <f t="shared" si="5"/>
        <v>370</v>
      </c>
      <c r="B371" s="123">
        <f>YEAR(Table6[[#This Row],[Date]])+IF(MONTH(Table6[[#This Row],[Date]])&gt;=4,1,0)</f>
        <v>2026</v>
      </c>
      <c r="C371" s="121">
        <f>YEAR(Table6[[#This Row],[Date]])</f>
        <v>2025</v>
      </c>
      <c r="D371" s="121" t="s">
        <v>490</v>
      </c>
      <c r="E371" s="135">
        <f>Table6[[#This Row],[Date]]-DAY(Table6[[#This Row],[Date]])+1</f>
        <v>45748</v>
      </c>
      <c r="F371" s="134">
        <v>45770</v>
      </c>
      <c r="G371" s="121" t="s">
        <v>138</v>
      </c>
      <c r="H371" s="39" t="str">
        <f>_xlfn.XLOOKUP(Table6[[#This Row],[Affected WTG]],'Basic Data'!$A:$A,'Basic Data'!$B:$B)</f>
        <v>PWEGPL</v>
      </c>
      <c r="I371" s="39" t="str">
        <f>_xlfn.XLOOKUP(Table6[[#This Row],[Affected WTG]],'Basic Data'!$A:$A,'Basic Data'!$C:$C)</f>
        <v>MSEDCL</v>
      </c>
      <c r="J371" s="363">
        <f>IFERROR(VLOOKUP(Table6[[#This Row],[Affected WTG]],'Basic Data'!$A$3:$E$56,5,0),"")</f>
        <v>2.564102564102564E-2</v>
      </c>
      <c r="K371" s="121" t="s">
        <v>466</v>
      </c>
      <c r="L371" s="39" t="str">
        <f>IFERROR(VLOOKUP(Table6[[#This Row],[Error Code]],'Basic Data'!$T:$U,2,0),"")</f>
        <v>Manual Stop</v>
      </c>
      <c r="M371" s="364" t="s">
        <v>479</v>
      </c>
      <c r="O371" s="365">
        <v>0.4548611111111111</v>
      </c>
      <c r="P371" s="365">
        <v>0.4548611111111111</v>
      </c>
      <c r="Q371" s="365">
        <v>0.6875</v>
      </c>
      <c r="R371" s="366">
        <f>IF(Table6[[#This Row],[Work Start TimeStamp]]="","",(Table6[[#This Row],[Work Start TimeStamp]]-Table6[[#This Row],[Fault Start TimeStamp]])*24)</f>
        <v>0</v>
      </c>
      <c r="S371" s="367">
        <f>(Table6[[#This Row],[Fault Clearance time]]-Table6[[#This Row],[Work Start TimeStamp]])*24</f>
        <v>5.5833333333333339</v>
      </c>
      <c r="T371" s="368">
        <f>(Table6[[#This Row],[Fault Clearance time]]-Table6[[#This Row],[Fault Start TimeStamp]])*24</f>
        <v>5.5833333333333339</v>
      </c>
      <c r="U371" s="364" t="s">
        <v>560</v>
      </c>
      <c r="V371" s="369" t="s">
        <v>463</v>
      </c>
      <c r="W371" s="354">
        <f>Table6[[#This Row],[Breakdown Time]]*(1/39)</f>
        <v>0.14316239316239318</v>
      </c>
      <c r="X371" s="352" t="s">
        <v>464</v>
      </c>
      <c r="Y371" s="370" t="s">
        <v>140</v>
      </c>
      <c r="Z371" s="121">
        <v>3157</v>
      </c>
      <c r="AA371" s="123">
        <v>734.44097222222229</v>
      </c>
      <c r="AB371" s="121" t="s">
        <v>478</v>
      </c>
    </row>
    <row r="372" spans="1:28">
      <c r="A372" s="121">
        <f t="shared" si="5"/>
        <v>371</v>
      </c>
      <c r="B372" s="123">
        <f>YEAR(Table6[[#This Row],[Date]])+IF(MONTH(Table6[[#This Row],[Date]])&gt;=4,1,0)</f>
        <v>2026</v>
      </c>
      <c r="C372" s="121">
        <f>YEAR(Table6[[#This Row],[Date]])</f>
        <v>2025</v>
      </c>
      <c r="D372" s="121" t="s">
        <v>490</v>
      </c>
      <c r="E372" s="135">
        <f>Table6[[#This Row],[Date]]-DAY(Table6[[#This Row],[Date]])+1</f>
        <v>45748</v>
      </c>
      <c r="F372" s="134">
        <v>45770</v>
      </c>
      <c r="G372" s="121" t="s">
        <v>145</v>
      </c>
      <c r="H372" s="39" t="str">
        <f>_xlfn.XLOOKUP(Table6[[#This Row],[Affected WTG]],'Basic Data'!$A:$A,'Basic Data'!$B:$B)</f>
        <v>PWEGPL</v>
      </c>
      <c r="I372" s="39" t="str">
        <f>_xlfn.XLOOKUP(Table6[[#This Row],[Affected WTG]],'Basic Data'!$A:$A,'Basic Data'!$C:$C)</f>
        <v>MSEDCL</v>
      </c>
      <c r="J372" s="363">
        <f>IFERROR(VLOOKUP(Table6[[#This Row],[Affected WTG]],'Basic Data'!$A$3:$E$56,5,0),"")</f>
        <v>2.564102564102564E-2</v>
      </c>
      <c r="K372" s="121">
        <v>525</v>
      </c>
      <c r="L372" s="39" t="str">
        <f>IFERROR(VLOOKUP(Table6[[#This Row],[Error Code]],'Basic Data'!$T:$U,2,0),"")</f>
        <v>High Ambient Temperature In The Converter</v>
      </c>
      <c r="M372" s="364" t="s">
        <v>462</v>
      </c>
      <c r="O372" s="365">
        <v>0.6791666666666667</v>
      </c>
      <c r="P372" s="365">
        <v>0.70902777777777781</v>
      </c>
      <c r="Q372" s="365">
        <v>0.7104166666666667</v>
      </c>
      <c r="R372" s="366">
        <f>IF(Table6[[#This Row],[Work Start TimeStamp]]="","",(Table6[[#This Row],[Work Start TimeStamp]]-Table6[[#This Row],[Fault Start TimeStamp]])*24)</f>
        <v>0.71666666666666679</v>
      </c>
      <c r="S372" s="367">
        <f>(Table6[[#This Row],[Fault Clearance time]]-Table6[[#This Row],[Work Start TimeStamp]])*24</f>
        <v>3.3333333333333215E-2</v>
      </c>
      <c r="T372" s="368">
        <f>(Table6[[#This Row],[Fault Clearance time]]-Table6[[#This Row],[Fault Start TimeStamp]])*24</f>
        <v>0.75</v>
      </c>
      <c r="U372" s="364" t="s">
        <v>491</v>
      </c>
      <c r="V372" s="369" t="s">
        <v>463</v>
      </c>
      <c r="W372" s="354">
        <f>Table6[[#This Row],[Breakdown Time]]*(1/39)</f>
        <v>1.9230769230769232E-2</v>
      </c>
      <c r="X372" s="352" t="s">
        <v>465</v>
      </c>
      <c r="Y372" s="370" t="s">
        <v>139</v>
      </c>
      <c r="Z372" s="121">
        <v>3102</v>
      </c>
      <c r="AA372" s="123">
        <v>96.9375</v>
      </c>
      <c r="AB372" s="121" t="s">
        <v>478</v>
      </c>
    </row>
    <row r="373" spans="1:28">
      <c r="A373" s="121">
        <f t="shared" si="5"/>
        <v>372</v>
      </c>
      <c r="B373" s="123">
        <f>YEAR(Table6[[#This Row],[Date]])+IF(MONTH(Table6[[#This Row],[Date]])&gt;=4,1,0)</f>
        <v>2026</v>
      </c>
      <c r="C373" s="121">
        <f>YEAR(Table6[[#This Row],[Date]])</f>
        <v>2025</v>
      </c>
      <c r="D373" s="121" t="s">
        <v>490</v>
      </c>
      <c r="E373" s="135">
        <f>Table6[[#This Row],[Date]]-DAY(Table6[[#This Row],[Date]])+1</f>
        <v>45748</v>
      </c>
      <c r="F373" s="134">
        <v>45771</v>
      </c>
      <c r="G373" s="121" t="s">
        <v>144</v>
      </c>
      <c r="H373" s="39" t="str">
        <f>_xlfn.XLOOKUP(Table6[[#This Row],[Affected WTG]],'Basic Data'!$A:$A,'Basic Data'!$B:$B)</f>
        <v>PWEGPL</v>
      </c>
      <c r="I373" s="39" t="str">
        <f>_xlfn.XLOOKUP(Table6[[#This Row],[Affected WTG]],'Basic Data'!$A:$A,'Basic Data'!$C:$C)</f>
        <v>MSEDCL</v>
      </c>
      <c r="J373" s="363">
        <f>IFERROR(VLOOKUP(Table6[[#This Row],[Affected WTG]],'Basic Data'!$A$3:$E$56,5,0),"")</f>
        <v>2.564102564102564E-2</v>
      </c>
      <c r="K373" s="121" t="s">
        <v>492</v>
      </c>
      <c r="L373" s="39" t="str">
        <f>IFERROR(VLOOKUP(Table6[[#This Row],[Error Code]],'Basic Data'!$T:$U,2,0),"")</f>
        <v>Manual Stop - Safety Related</v>
      </c>
      <c r="M373" s="364" t="s">
        <v>481</v>
      </c>
      <c r="O373" s="365">
        <v>0</v>
      </c>
      <c r="P373" s="365">
        <v>0.99930555555555556</v>
      </c>
      <c r="Q373" s="365">
        <v>0.99930555555555556</v>
      </c>
      <c r="R373" s="366">
        <f>IF(Table6[[#This Row],[Work Start TimeStamp]]="","",(Table6[[#This Row],[Work Start TimeStamp]]-Table6[[#This Row],[Fault Start TimeStamp]])*24)</f>
        <v>23.983333333333334</v>
      </c>
      <c r="S373" s="367">
        <f>(Table6[[#This Row],[Fault Clearance time]]-Table6[[#This Row],[Work Start TimeStamp]])*24</f>
        <v>0</v>
      </c>
      <c r="T373" s="368">
        <f>(Table6[[#This Row],[Fault Clearance time]]-Table6[[#This Row],[Fault Start TimeStamp]])*24</f>
        <v>23.983333333333334</v>
      </c>
      <c r="U373" s="364" t="s">
        <v>498</v>
      </c>
      <c r="V373" s="369" t="s">
        <v>473</v>
      </c>
      <c r="W373" s="354">
        <f>Table6[[#This Row],[Breakdown Time]]*(1/39)</f>
        <v>0.61495726495726499</v>
      </c>
      <c r="X373" s="352" t="s">
        <v>468</v>
      </c>
      <c r="Y373" s="370" t="s">
        <v>141</v>
      </c>
      <c r="Z373" s="121">
        <v>5484</v>
      </c>
      <c r="AA373" s="123">
        <v>5480.1916666666666</v>
      </c>
      <c r="AB373" s="121" t="s">
        <v>478</v>
      </c>
    </row>
    <row r="374" spans="1:28">
      <c r="A374" s="121">
        <f t="shared" si="5"/>
        <v>373</v>
      </c>
      <c r="B374" s="123">
        <f>YEAR(Table6[[#This Row],[Date]])+IF(MONTH(Table6[[#This Row],[Date]])&gt;=4,1,0)</f>
        <v>2026</v>
      </c>
      <c r="C374" s="121">
        <f>YEAR(Table6[[#This Row],[Date]])</f>
        <v>2025</v>
      </c>
      <c r="D374" s="121" t="s">
        <v>490</v>
      </c>
      <c r="E374" s="135">
        <f>Table6[[#This Row],[Date]]-DAY(Table6[[#This Row],[Date]])+1</f>
        <v>45748</v>
      </c>
      <c r="F374" s="134">
        <v>45771</v>
      </c>
      <c r="G374" s="121" t="s">
        <v>142</v>
      </c>
      <c r="H374" s="39" t="str">
        <f>_xlfn.XLOOKUP(Table6[[#This Row],[Affected WTG]],'Basic Data'!$A:$A,'Basic Data'!$B:$B)</f>
        <v>PWEGPL</v>
      </c>
      <c r="I374" s="39" t="str">
        <f>_xlfn.XLOOKUP(Table6[[#This Row],[Affected WTG]],'Basic Data'!$A:$A,'Basic Data'!$C:$C)</f>
        <v>MSEDCL</v>
      </c>
      <c r="J374" s="363">
        <f>IFERROR(VLOOKUP(Table6[[#This Row],[Affected WTG]],'Basic Data'!$A$3:$E$56,5,0),"")</f>
        <v>2.564102564102564E-2</v>
      </c>
      <c r="K374" s="121" t="s">
        <v>492</v>
      </c>
      <c r="L374" s="39" t="str">
        <f>IFERROR(VLOOKUP(Table6[[#This Row],[Error Code]],'Basic Data'!$T:$U,2,0),"")</f>
        <v>Manual Stop - Safety Related</v>
      </c>
      <c r="M374" s="364" t="s">
        <v>481</v>
      </c>
      <c r="O374" s="365">
        <v>0</v>
      </c>
      <c r="P374" s="365">
        <v>0.99930555555555556</v>
      </c>
      <c r="Q374" s="365">
        <v>0.99930555555555556</v>
      </c>
      <c r="R374" s="366">
        <f>IF(Table6[[#This Row],[Work Start TimeStamp]]="","",(Table6[[#This Row],[Work Start TimeStamp]]-Table6[[#This Row],[Fault Start TimeStamp]])*24)</f>
        <v>23.983333333333334</v>
      </c>
      <c r="S374" s="367">
        <f>(Table6[[#This Row],[Fault Clearance time]]-Table6[[#This Row],[Work Start TimeStamp]])*24</f>
        <v>0</v>
      </c>
      <c r="T374" s="368">
        <f>(Table6[[#This Row],[Fault Clearance time]]-Table6[[#This Row],[Fault Start TimeStamp]])*24</f>
        <v>23.983333333333334</v>
      </c>
      <c r="U374" s="364" t="s">
        <v>498</v>
      </c>
      <c r="V374" s="369" t="s">
        <v>473</v>
      </c>
      <c r="W374" s="354">
        <f>Table6[[#This Row],[Breakdown Time]]*(1/39)</f>
        <v>0.61495726495726499</v>
      </c>
      <c r="X374" s="352" t="s">
        <v>468</v>
      </c>
      <c r="Y374" s="370" t="s">
        <v>141</v>
      </c>
      <c r="Z374" s="121">
        <v>5484</v>
      </c>
      <c r="AA374" s="123">
        <v>5480.1916666666666</v>
      </c>
      <c r="AB374" s="121" t="s">
        <v>478</v>
      </c>
    </row>
    <row r="375" spans="1:28">
      <c r="A375" s="121">
        <f t="shared" si="5"/>
        <v>374</v>
      </c>
      <c r="B375" s="123">
        <f>YEAR(Table6[[#This Row],[Date]])+IF(MONTH(Table6[[#This Row],[Date]])&gt;=4,1,0)</f>
        <v>2026</v>
      </c>
      <c r="C375" s="121">
        <f>YEAR(Table6[[#This Row],[Date]])</f>
        <v>2025</v>
      </c>
      <c r="D375" s="121" t="s">
        <v>490</v>
      </c>
      <c r="E375" s="135">
        <f>Table6[[#This Row],[Date]]-DAY(Table6[[#This Row],[Date]])+1</f>
        <v>45748</v>
      </c>
      <c r="F375" s="134">
        <v>45771</v>
      </c>
      <c r="G375" s="121" t="s">
        <v>115</v>
      </c>
      <c r="H375" s="39" t="str">
        <f>_xlfn.XLOOKUP(Table6[[#This Row],[Affected WTG]],'Basic Data'!$A:$A,'Basic Data'!$B:$B)</f>
        <v>PWEGPL</v>
      </c>
      <c r="I375" s="39" t="str">
        <f>_xlfn.XLOOKUP(Table6[[#This Row],[Affected WTG]],'Basic Data'!$A:$A,'Basic Data'!$C:$C)</f>
        <v>MSEDCL</v>
      </c>
      <c r="J375" s="363">
        <f>IFERROR(VLOOKUP(Table6[[#This Row],[Affected WTG]],'Basic Data'!$A$3:$E$56,5,0),"")</f>
        <v>2.564102564102564E-2</v>
      </c>
      <c r="K375" s="121">
        <v>2118</v>
      </c>
      <c r="L375" s="39" t="str">
        <f>IFERROR(VLOOKUP(Table6[[#This Row],[Error Code]],'Basic Data'!$T:$U,2,0),"")</f>
        <v>Bus Error - Interbus Failure</v>
      </c>
      <c r="M375" s="364" t="s">
        <v>462</v>
      </c>
      <c r="O375" s="365">
        <v>0.72430555555555554</v>
      </c>
      <c r="P375" s="365">
        <v>0.76736111111111116</v>
      </c>
      <c r="Q375" s="365">
        <v>0.76875000000000004</v>
      </c>
      <c r="R375" s="366">
        <f>IF(Table6[[#This Row],[Work Start TimeStamp]]="","",(Table6[[#This Row],[Work Start TimeStamp]]-Table6[[#This Row],[Fault Start TimeStamp]])*24)</f>
        <v>1.033333333333335</v>
      </c>
      <c r="S375" s="367">
        <f>(Table6[[#This Row],[Fault Clearance time]]-Table6[[#This Row],[Work Start TimeStamp]])*24</f>
        <v>3.3333333333333215E-2</v>
      </c>
      <c r="T375" s="368">
        <f>(Table6[[#This Row],[Fault Clearance time]]-Table6[[#This Row],[Fault Start TimeStamp]])*24</f>
        <v>1.0666666666666682</v>
      </c>
      <c r="U375" s="364" t="s">
        <v>491</v>
      </c>
      <c r="V375" s="369" t="s">
        <v>463</v>
      </c>
      <c r="W375" s="354">
        <f>Table6[[#This Row],[Breakdown Time]]*(1/39)</f>
        <v>2.7350427350427389E-2</v>
      </c>
      <c r="X375" s="352" t="s">
        <v>465</v>
      </c>
      <c r="Y375" s="370" t="s">
        <v>121</v>
      </c>
      <c r="Z375" s="121">
        <v>5267</v>
      </c>
      <c r="AA375" s="123">
        <v>234.08888888888924</v>
      </c>
      <c r="AB375" s="121" t="s">
        <v>478</v>
      </c>
    </row>
    <row r="376" spans="1:28">
      <c r="A376" s="121">
        <f t="shared" si="5"/>
        <v>375</v>
      </c>
      <c r="B376" s="123">
        <f>YEAR(Table6[[#This Row],[Date]])+IF(MONTH(Table6[[#This Row],[Date]])&gt;=4,1,0)</f>
        <v>2026</v>
      </c>
      <c r="C376" s="121">
        <f>YEAR(Table6[[#This Row],[Date]])</f>
        <v>2025</v>
      </c>
      <c r="D376" s="121" t="s">
        <v>490</v>
      </c>
      <c r="E376" s="135">
        <f>Table6[[#This Row],[Date]]-DAY(Table6[[#This Row],[Date]])+1</f>
        <v>45748</v>
      </c>
      <c r="F376" s="134">
        <v>45771</v>
      </c>
      <c r="G376" s="121" t="s">
        <v>136</v>
      </c>
      <c r="H376" s="39" t="str">
        <f>_xlfn.XLOOKUP(Table6[[#This Row],[Affected WTG]],'Basic Data'!$A:$A,'Basic Data'!$B:$B)</f>
        <v>PWEGPL</v>
      </c>
      <c r="I376" s="39" t="str">
        <f>_xlfn.XLOOKUP(Table6[[#This Row],[Affected WTG]],'Basic Data'!$A:$A,'Basic Data'!$C:$C)</f>
        <v>MSEDCL</v>
      </c>
      <c r="J376" s="363">
        <f>IFERROR(VLOOKUP(Table6[[#This Row],[Affected WTG]],'Basic Data'!$A$3:$E$56,5,0),"")</f>
        <v>2.564102564102564E-2</v>
      </c>
      <c r="K376" s="121">
        <v>813</v>
      </c>
      <c r="L376" s="39" t="str">
        <f>IFERROR(VLOOKUP(Table6[[#This Row],[Error Code]],'Basic Data'!$T:$U,2,0),"")</f>
        <v>Low Pressure Of Emergency Accumulators</v>
      </c>
      <c r="M376" s="364" t="s">
        <v>462</v>
      </c>
      <c r="O376" s="365">
        <v>0.7416666666666667</v>
      </c>
      <c r="P376" s="365">
        <v>0.76597222222222228</v>
      </c>
      <c r="Q376" s="365">
        <v>0.76736111111111116</v>
      </c>
      <c r="R376" s="366">
        <f>IF(Table6[[#This Row],[Work Start TimeStamp]]="","",(Table6[[#This Row],[Work Start TimeStamp]]-Table6[[#This Row],[Fault Start TimeStamp]])*24)</f>
        <v>0.58333333333333393</v>
      </c>
      <c r="S376" s="367">
        <f>(Table6[[#This Row],[Fault Clearance time]]-Table6[[#This Row],[Work Start TimeStamp]])*24</f>
        <v>3.3333333333333215E-2</v>
      </c>
      <c r="T376" s="368">
        <f>(Table6[[#This Row],[Fault Clearance time]]-Table6[[#This Row],[Fault Start TimeStamp]])*24</f>
        <v>0.61666666666666714</v>
      </c>
      <c r="U376" s="364" t="s">
        <v>493</v>
      </c>
      <c r="V376" s="369" t="s">
        <v>463</v>
      </c>
      <c r="W376" s="354">
        <f>Table6[[#This Row],[Breakdown Time]]*(1/39)</f>
        <v>1.5811965811965825E-2</v>
      </c>
      <c r="X376" s="352" t="s">
        <v>465</v>
      </c>
      <c r="Y376" s="370" t="s">
        <v>119</v>
      </c>
      <c r="Z376" s="121">
        <v>5423</v>
      </c>
      <c r="AA376" s="123">
        <v>139.34097222222235</v>
      </c>
      <c r="AB376" s="121" t="s">
        <v>478</v>
      </c>
    </row>
    <row r="377" spans="1:28">
      <c r="A377" s="121">
        <f t="shared" si="5"/>
        <v>376</v>
      </c>
      <c r="B377" s="123">
        <f>YEAR(Table6[[#This Row],[Date]])+IF(MONTH(Table6[[#This Row],[Date]])&gt;=4,1,0)</f>
        <v>2026</v>
      </c>
      <c r="C377" s="121">
        <f>YEAR(Table6[[#This Row],[Date]])</f>
        <v>2025</v>
      </c>
      <c r="D377" s="121" t="s">
        <v>490</v>
      </c>
      <c r="E377" s="135">
        <f>Table6[[#This Row],[Date]]-DAY(Table6[[#This Row],[Date]])+1</f>
        <v>45748</v>
      </c>
      <c r="F377" s="134">
        <v>45771</v>
      </c>
      <c r="G377" s="121" t="s">
        <v>139</v>
      </c>
      <c r="H377" s="39" t="str">
        <f>_xlfn.XLOOKUP(Table6[[#This Row],[Affected WTG]],'Basic Data'!$A:$A,'Basic Data'!$B:$B)</f>
        <v>PWEGPL</v>
      </c>
      <c r="I377" s="39" t="str">
        <f>_xlfn.XLOOKUP(Table6[[#This Row],[Affected WTG]],'Basic Data'!$A:$A,'Basic Data'!$C:$C)</f>
        <v>MSEDCL</v>
      </c>
      <c r="J377" s="363">
        <f>IFERROR(VLOOKUP(Table6[[#This Row],[Affected WTG]],'Basic Data'!$A$3:$E$56,5,0),"")</f>
        <v>2.564102564102564E-2</v>
      </c>
      <c r="K377" s="121" t="s">
        <v>466</v>
      </c>
      <c r="L377" s="39" t="str">
        <f>IFERROR(VLOOKUP(Table6[[#This Row],[Error Code]],'Basic Data'!$T:$U,2,0),"")</f>
        <v>Manual Stop</v>
      </c>
      <c r="M377" s="364" t="s">
        <v>479</v>
      </c>
      <c r="O377" s="365">
        <v>0.49305555555555558</v>
      </c>
      <c r="P377" s="365">
        <v>0.49305555555555558</v>
      </c>
      <c r="Q377" s="365">
        <v>0.6791666666666667</v>
      </c>
      <c r="R377" s="366">
        <f>IF(Table6[[#This Row],[Work Start TimeStamp]]="","",(Table6[[#This Row],[Work Start TimeStamp]]-Table6[[#This Row],[Fault Start TimeStamp]])*24)</f>
        <v>0</v>
      </c>
      <c r="S377" s="367">
        <f>(Table6[[#This Row],[Fault Clearance time]]-Table6[[#This Row],[Work Start TimeStamp]])*24</f>
        <v>4.4666666666666668</v>
      </c>
      <c r="T377" s="368">
        <f>(Table6[[#This Row],[Fault Clearance time]]-Table6[[#This Row],[Fault Start TimeStamp]])*24</f>
        <v>4.4666666666666668</v>
      </c>
      <c r="U377" s="364" t="s">
        <v>560</v>
      </c>
      <c r="V377" s="369" t="s">
        <v>463</v>
      </c>
      <c r="W377" s="354">
        <f>Table6[[#This Row],[Breakdown Time]]*(1/39)</f>
        <v>0.11452991452991453</v>
      </c>
      <c r="X377" s="352" t="s">
        <v>464</v>
      </c>
      <c r="Y377" s="370" t="s">
        <v>145</v>
      </c>
      <c r="Z377" s="121">
        <v>7158</v>
      </c>
      <c r="AA377" s="123">
        <v>1332.1833333333334</v>
      </c>
      <c r="AB377" s="121" t="s">
        <v>478</v>
      </c>
    </row>
    <row r="378" spans="1:28">
      <c r="A378" s="121">
        <f t="shared" si="5"/>
        <v>377</v>
      </c>
      <c r="B378" s="123">
        <f>YEAR(Table6[[#This Row],[Date]])+IF(MONTH(Table6[[#This Row],[Date]])&gt;=4,1,0)</f>
        <v>2026</v>
      </c>
      <c r="C378" s="121">
        <f>YEAR(Table6[[#This Row],[Date]])</f>
        <v>2025</v>
      </c>
      <c r="D378" s="121" t="s">
        <v>490</v>
      </c>
      <c r="E378" s="135">
        <f>Table6[[#This Row],[Date]]-DAY(Table6[[#This Row],[Date]])+1</f>
        <v>45748</v>
      </c>
      <c r="F378" s="134">
        <v>45771</v>
      </c>
      <c r="G378" s="121" t="s">
        <v>152</v>
      </c>
      <c r="H378" s="39" t="str">
        <f>_xlfn.XLOOKUP(Table6[[#This Row],[Affected WTG]],'Basic Data'!$A:$A,'Basic Data'!$B:$B)</f>
        <v>PWEGPL</v>
      </c>
      <c r="I378" s="39" t="str">
        <f>_xlfn.XLOOKUP(Table6[[#This Row],[Affected WTG]],'Basic Data'!$A:$A,'Basic Data'!$C:$C)</f>
        <v>MSEDCL</v>
      </c>
      <c r="J378" s="363">
        <f>IFERROR(VLOOKUP(Table6[[#This Row],[Affected WTG]],'Basic Data'!$A$3:$E$56,5,0),"")</f>
        <v>2.564102564102564E-2</v>
      </c>
      <c r="K378" s="121" t="s">
        <v>492</v>
      </c>
      <c r="L378" s="39" t="str">
        <f>IFERROR(VLOOKUP(Table6[[#This Row],[Error Code]],'Basic Data'!$T:$U,2,0),"")</f>
        <v>Manual Stop - Safety Related</v>
      </c>
      <c r="M378" s="364" t="s">
        <v>481</v>
      </c>
      <c r="O378" s="365">
        <v>0.625</v>
      </c>
      <c r="P378" s="365">
        <v>0.625</v>
      </c>
      <c r="Q378" s="365">
        <v>0.71319444444444446</v>
      </c>
      <c r="R378" s="366">
        <f>IF(Table6[[#This Row],[Work Start TimeStamp]]="","",(Table6[[#This Row],[Work Start TimeStamp]]-Table6[[#This Row],[Fault Start TimeStamp]])*24)</f>
        <v>0</v>
      </c>
      <c r="S378" s="367">
        <f>(Table6[[#This Row],[Fault Clearance time]]-Table6[[#This Row],[Work Start TimeStamp]])*24</f>
        <v>2.1166666666666671</v>
      </c>
      <c r="T378" s="368">
        <f>(Table6[[#This Row],[Fault Clearance time]]-Table6[[#This Row],[Fault Start TimeStamp]])*24</f>
        <v>2.1166666666666671</v>
      </c>
      <c r="U378" s="364" t="s">
        <v>508</v>
      </c>
      <c r="V378" s="369" t="s">
        <v>463</v>
      </c>
      <c r="W378" s="354">
        <f>Table6[[#This Row],[Breakdown Time]]*(1/39)</f>
        <v>5.4273504273504282E-2</v>
      </c>
      <c r="X378" s="352" t="s">
        <v>472</v>
      </c>
      <c r="Y378" s="370" t="s">
        <v>151</v>
      </c>
      <c r="Z378" s="121">
        <v>7156</v>
      </c>
      <c r="AA378" s="123">
        <v>631.11944444444464</v>
      </c>
      <c r="AB378" s="121" t="s">
        <v>478</v>
      </c>
    </row>
    <row r="379" spans="1:28">
      <c r="A379" s="121">
        <f t="shared" si="5"/>
        <v>378</v>
      </c>
      <c r="B379" s="123">
        <f>YEAR(Table6[[#This Row],[Date]])+IF(MONTH(Table6[[#This Row],[Date]])&gt;=4,1,0)</f>
        <v>2026</v>
      </c>
      <c r="C379" s="121">
        <f>YEAR(Table6[[#This Row],[Date]])</f>
        <v>2025</v>
      </c>
      <c r="D379" s="121" t="s">
        <v>490</v>
      </c>
      <c r="E379" s="135">
        <f>Table6[[#This Row],[Date]]-DAY(Table6[[#This Row],[Date]])+1</f>
        <v>45748</v>
      </c>
      <c r="F379" s="134">
        <v>45771</v>
      </c>
      <c r="G379" s="121" t="s">
        <v>153</v>
      </c>
      <c r="H379" s="39" t="str">
        <f>_xlfn.XLOOKUP(Table6[[#This Row],[Affected WTG]],'Basic Data'!$A:$A,'Basic Data'!$B:$B)</f>
        <v>PWEGPL</v>
      </c>
      <c r="I379" s="39" t="str">
        <f>_xlfn.XLOOKUP(Table6[[#This Row],[Affected WTG]],'Basic Data'!$A:$A,'Basic Data'!$C:$C)</f>
        <v>MSEDCL</v>
      </c>
      <c r="J379" s="363">
        <f>IFERROR(VLOOKUP(Table6[[#This Row],[Affected WTG]],'Basic Data'!$A$3:$E$56,5,0),"")</f>
        <v>2.564102564102564E-2</v>
      </c>
      <c r="K379" s="121" t="s">
        <v>466</v>
      </c>
      <c r="L379" s="39" t="str">
        <f>IFERROR(VLOOKUP(Table6[[#This Row],[Error Code]],'Basic Data'!$T:$U,2,0),"")</f>
        <v>Manual Stop</v>
      </c>
      <c r="M379" s="364" t="s">
        <v>479</v>
      </c>
      <c r="O379" s="365">
        <v>0.4861111111111111</v>
      </c>
      <c r="P379" s="365">
        <v>0.4861111111111111</v>
      </c>
      <c r="Q379" s="365">
        <v>0.68055555555555558</v>
      </c>
      <c r="R379" s="366">
        <f>IF(Table6[[#This Row],[Work Start TimeStamp]]="","",(Table6[[#This Row],[Work Start TimeStamp]]-Table6[[#This Row],[Fault Start TimeStamp]])*24)</f>
        <v>0</v>
      </c>
      <c r="S379" s="367">
        <f>(Table6[[#This Row],[Fault Clearance time]]-Table6[[#This Row],[Work Start TimeStamp]])*24</f>
        <v>4.6666666666666679</v>
      </c>
      <c r="T379" s="368">
        <f>(Table6[[#This Row],[Fault Clearance time]]-Table6[[#This Row],[Fault Start TimeStamp]])*24</f>
        <v>4.6666666666666679</v>
      </c>
      <c r="U379" s="364" t="s">
        <v>560</v>
      </c>
      <c r="V379" s="369" t="s">
        <v>463</v>
      </c>
      <c r="W379" s="354">
        <f>Table6[[#This Row],[Breakdown Time]]*(1/39)</f>
        <v>0.11965811965811969</v>
      </c>
      <c r="X379" s="352" t="s">
        <v>464</v>
      </c>
      <c r="Y379" s="370" t="s">
        <v>151</v>
      </c>
      <c r="Z379" s="121">
        <v>7156</v>
      </c>
      <c r="AA379" s="123">
        <v>1391.4444444444448</v>
      </c>
      <c r="AB379" s="121" t="s">
        <v>478</v>
      </c>
    </row>
    <row r="380" spans="1:28">
      <c r="A380" s="121">
        <f t="shared" si="5"/>
        <v>379</v>
      </c>
      <c r="B380" s="123">
        <f>YEAR(Table6[[#This Row],[Date]])+IF(MONTH(Table6[[#This Row],[Date]])&gt;=4,1,0)</f>
        <v>2026</v>
      </c>
      <c r="C380" s="121">
        <f>YEAR(Table6[[#This Row],[Date]])</f>
        <v>2025</v>
      </c>
      <c r="D380" s="121" t="s">
        <v>490</v>
      </c>
      <c r="E380" s="135">
        <f>Table6[[#This Row],[Date]]-DAY(Table6[[#This Row],[Date]])+1</f>
        <v>45748</v>
      </c>
      <c r="F380" s="134">
        <v>45772</v>
      </c>
      <c r="G380" s="121" t="s">
        <v>144</v>
      </c>
      <c r="H380" s="39" t="str">
        <f>_xlfn.XLOOKUP(Table6[[#This Row],[Affected WTG]],'Basic Data'!$A:$A,'Basic Data'!$B:$B)</f>
        <v>PWEGPL</v>
      </c>
      <c r="I380" s="39" t="str">
        <f>_xlfn.XLOOKUP(Table6[[#This Row],[Affected WTG]],'Basic Data'!$A:$A,'Basic Data'!$C:$C)</f>
        <v>MSEDCL</v>
      </c>
      <c r="J380" s="363">
        <f>IFERROR(VLOOKUP(Table6[[#This Row],[Affected WTG]],'Basic Data'!$A$3:$E$56,5,0),"")</f>
        <v>2.564102564102564E-2</v>
      </c>
      <c r="K380" s="121" t="s">
        <v>492</v>
      </c>
      <c r="L380" s="39" t="str">
        <f>IFERROR(VLOOKUP(Table6[[#This Row],[Error Code]],'Basic Data'!$T:$U,2,0),"")</f>
        <v>Manual Stop - Safety Related</v>
      </c>
      <c r="M380" s="364" t="s">
        <v>481</v>
      </c>
      <c r="O380" s="365">
        <v>0</v>
      </c>
      <c r="P380" s="365">
        <v>0.99930555555555556</v>
      </c>
      <c r="Q380" s="365">
        <v>0.99930555555555556</v>
      </c>
      <c r="R380" s="366">
        <f>IF(Table6[[#This Row],[Work Start TimeStamp]]="","",(Table6[[#This Row],[Work Start TimeStamp]]-Table6[[#This Row],[Fault Start TimeStamp]])*24)</f>
        <v>23.983333333333334</v>
      </c>
      <c r="S380" s="367">
        <f>(Table6[[#This Row],[Fault Clearance time]]-Table6[[#This Row],[Work Start TimeStamp]])*24</f>
        <v>0</v>
      </c>
      <c r="T380" s="368">
        <f>(Table6[[#This Row],[Fault Clearance time]]-Table6[[#This Row],[Fault Start TimeStamp]])*24</f>
        <v>23.983333333333334</v>
      </c>
      <c r="U380" s="364" t="s">
        <v>498</v>
      </c>
      <c r="V380" s="369" t="s">
        <v>473</v>
      </c>
      <c r="W380" s="354">
        <f>Table6[[#This Row],[Breakdown Time]]*(1/39)</f>
        <v>0.61495726495726499</v>
      </c>
      <c r="X380" s="352" t="s">
        <v>468</v>
      </c>
      <c r="Y380" s="370" t="s">
        <v>141</v>
      </c>
      <c r="Z380" s="121">
        <v>6544</v>
      </c>
      <c r="AA380" s="123">
        <v>6539.4555555555562</v>
      </c>
      <c r="AB380" s="121" t="s">
        <v>478</v>
      </c>
    </row>
    <row r="381" spans="1:28">
      <c r="A381" s="121">
        <f t="shared" si="5"/>
        <v>380</v>
      </c>
      <c r="B381" s="123">
        <f>YEAR(Table6[[#This Row],[Date]])+IF(MONTH(Table6[[#This Row],[Date]])&gt;=4,1,0)</f>
        <v>2026</v>
      </c>
      <c r="C381" s="121">
        <f>YEAR(Table6[[#This Row],[Date]])</f>
        <v>2025</v>
      </c>
      <c r="D381" s="121" t="s">
        <v>490</v>
      </c>
      <c r="E381" s="135">
        <f>Table6[[#This Row],[Date]]-DAY(Table6[[#This Row],[Date]])+1</f>
        <v>45748</v>
      </c>
      <c r="F381" s="134">
        <v>45772</v>
      </c>
      <c r="G381" s="121" t="s">
        <v>142</v>
      </c>
      <c r="H381" s="39" t="str">
        <f>_xlfn.XLOOKUP(Table6[[#This Row],[Affected WTG]],'Basic Data'!$A:$A,'Basic Data'!$B:$B)</f>
        <v>PWEGPL</v>
      </c>
      <c r="I381" s="39" t="str">
        <f>_xlfn.XLOOKUP(Table6[[#This Row],[Affected WTG]],'Basic Data'!$A:$A,'Basic Data'!$C:$C)</f>
        <v>MSEDCL</v>
      </c>
      <c r="J381" s="363">
        <f>IFERROR(VLOOKUP(Table6[[#This Row],[Affected WTG]],'Basic Data'!$A$3:$E$56,5,0),"")</f>
        <v>2.564102564102564E-2</v>
      </c>
      <c r="K381" s="121" t="s">
        <v>492</v>
      </c>
      <c r="L381" s="39" t="str">
        <f>IFERROR(VLOOKUP(Table6[[#This Row],[Error Code]],'Basic Data'!$T:$U,2,0),"")</f>
        <v>Manual Stop - Safety Related</v>
      </c>
      <c r="M381" s="364" t="s">
        <v>481</v>
      </c>
      <c r="O381" s="365">
        <v>0</v>
      </c>
      <c r="P381" s="365">
        <v>0.99930555555555556</v>
      </c>
      <c r="Q381" s="365">
        <v>0.99930555555555556</v>
      </c>
      <c r="R381" s="366">
        <f>IF(Table6[[#This Row],[Work Start TimeStamp]]="","",(Table6[[#This Row],[Work Start TimeStamp]]-Table6[[#This Row],[Fault Start TimeStamp]])*24)</f>
        <v>23.983333333333334</v>
      </c>
      <c r="S381" s="367">
        <f>(Table6[[#This Row],[Fault Clearance time]]-Table6[[#This Row],[Work Start TimeStamp]])*24</f>
        <v>0</v>
      </c>
      <c r="T381" s="368">
        <f>(Table6[[#This Row],[Fault Clearance time]]-Table6[[#This Row],[Fault Start TimeStamp]])*24</f>
        <v>23.983333333333334</v>
      </c>
      <c r="U381" s="364" t="s">
        <v>498</v>
      </c>
      <c r="V381" s="369" t="s">
        <v>473</v>
      </c>
      <c r="W381" s="354">
        <f>Table6[[#This Row],[Breakdown Time]]*(1/39)</f>
        <v>0.61495726495726499</v>
      </c>
      <c r="X381" s="352" t="s">
        <v>468</v>
      </c>
      <c r="Y381" s="370" t="s">
        <v>141</v>
      </c>
      <c r="Z381" s="121">
        <v>6544</v>
      </c>
      <c r="AA381" s="123">
        <v>6539.4555555555562</v>
      </c>
      <c r="AB381" s="121" t="s">
        <v>478</v>
      </c>
    </row>
    <row r="382" spans="1:28">
      <c r="A382" s="121">
        <f t="shared" si="5"/>
        <v>381</v>
      </c>
      <c r="B382" s="123">
        <f>YEAR(Table6[[#This Row],[Date]])+IF(MONTH(Table6[[#This Row],[Date]])&gt;=4,1,0)</f>
        <v>2026</v>
      </c>
      <c r="C382" s="121">
        <f>YEAR(Table6[[#This Row],[Date]])</f>
        <v>2025</v>
      </c>
      <c r="D382" s="121" t="s">
        <v>490</v>
      </c>
      <c r="E382" s="135">
        <f>Table6[[#This Row],[Date]]-DAY(Table6[[#This Row],[Date]])+1</f>
        <v>45748</v>
      </c>
      <c r="F382" s="134">
        <v>45772</v>
      </c>
      <c r="G382" s="121" t="s">
        <v>118</v>
      </c>
      <c r="H382" s="39" t="str">
        <f>_xlfn.XLOOKUP(Table6[[#This Row],[Affected WTG]],'Basic Data'!$A:$A,'Basic Data'!$B:$B)</f>
        <v>PWEGPL</v>
      </c>
      <c r="I382" s="39" t="str">
        <f>_xlfn.XLOOKUP(Table6[[#This Row],[Affected WTG]],'Basic Data'!$A:$A,'Basic Data'!$C:$C)</f>
        <v>MSEDCL</v>
      </c>
      <c r="J382" s="363">
        <f>IFERROR(VLOOKUP(Table6[[#This Row],[Affected WTG]],'Basic Data'!$A$3:$E$56,5,0),"")</f>
        <v>2.564102564102564E-2</v>
      </c>
      <c r="K382" s="121">
        <v>2118</v>
      </c>
      <c r="L382" s="39" t="str">
        <f>IFERROR(VLOOKUP(Table6[[#This Row],[Error Code]],'Basic Data'!$T:$U,2,0),"")</f>
        <v>Bus Error - Interbus Failure</v>
      </c>
      <c r="M382" s="364" t="s">
        <v>462</v>
      </c>
      <c r="O382" s="365">
        <v>0.60277777777777775</v>
      </c>
      <c r="P382" s="365">
        <v>0.63194444444444442</v>
      </c>
      <c r="Q382" s="365">
        <v>0.6333333333333333</v>
      </c>
      <c r="R382" s="366">
        <f>IF(Table6[[#This Row],[Work Start TimeStamp]]="","",(Table6[[#This Row],[Work Start TimeStamp]]-Table6[[#This Row],[Fault Start TimeStamp]])*24)</f>
        <v>0.70000000000000018</v>
      </c>
      <c r="S382" s="367">
        <f>(Table6[[#This Row],[Fault Clearance time]]-Table6[[#This Row],[Work Start TimeStamp]])*24</f>
        <v>3.3333333333333215E-2</v>
      </c>
      <c r="T382" s="368">
        <f>(Table6[[#This Row],[Fault Clearance time]]-Table6[[#This Row],[Fault Start TimeStamp]])*24</f>
        <v>0.73333333333333339</v>
      </c>
      <c r="U382" s="364" t="s">
        <v>493</v>
      </c>
      <c r="V382" s="369" t="s">
        <v>463</v>
      </c>
      <c r="W382" s="354">
        <f>Table6[[#This Row],[Breakdown Time]]*(1/39)</f>
        <v>1.8803418803418806E-2</v>
      </c>
      <c r="X382" s="352" t="s">
        <v>465</v>
      </c>
      <c r="Y382" s="370" t="s">
        <v>117</v>
      </c>
      <c r="Z382" s="121">
        <v>7041</v>
      </c>
      <c r="AA382" s="123">
        <v>215.14166666666668</v>
      </c>
      <c r="AB382" s="121" t="s">
        <v>478</v>
      </c>
    </row>
    <row r="383" spans="1:28">
      <c r="A383" s="121">
        <f t="shared" si="5"/>
        <v>382</v>
      </c>
      <c r="B383" s="123">
        <f>YEAR(Table6[[#This Row],[Date]])+IF(MONTH(Table6[[#This Row],[Date]])&gt;=4,1,0)</f>
        <v>2026</v>
      </c>
      <c r="C383" s="121">
        <f>YEAR(Table6[[#This Row],[Date]])</f>
        <v>2025</v>
      </c>
      <c r="D383" s="121" t="s">
        <v>490</v>
      </c>
      <c r="E383" s="135">
        <f>Table6[[#This Row],[Date]]-DAY(Table6[[#This Row],[Date]])+1</f>
        <v>45748</v>
      </c>
      <c r="F383" s="134">
        <v>45772</v>
      </c>
      <c r="G383" s="121" t="s">
        <v>122</v>
      </c>
      <c r="H383" s="39" t="str">
        <f>_xlfn.XLOOKUP(Table6[[#This Row],[Affected WTG]],'Basic Data'!$A:$A,'Basic Data'!$B:$B)</f>
        <v>PWEGPL</v>
      </c>
      <c r="I383" s="39" t="str">
        <f>_xlfn.XLOOKUP(Table6[[#This Row],[Affected WTG]],'Basic Data'!$A:$A,'Basic Data'!$C:$C)</f>
        <v>MSEDCL</v>
      </c>
      <c r="J383" s="363">
        <f>IFERROR(VLOOKUP(Table6[[#This Row],[Affected WTG]],'Basic Data'!$A$3:$E$56,5,0),"")</f>
        <v>2.564102564102564E-2</v>
      </c>
      <c r="K383" s="121" t="s">
        <v>487</v>
      </c>
      <c r="L383" s="39" t="str">
        <f>IFERROR(VLOOKUP(Table6[[#This Row],[Error Code]],'Basic Data'!$T:$U,2,0),"")</f>
        <v>General Work Stoppage</v>
      </c>
      <c r="M383" s="364" t="s">
        <v>479</v>
      </c>
      <c r="O383" s="365">
        <v>0.77777777777777779</v>
      </c>
      <c r="P383" s="365">
        <v>0.77777777777777779</v>
      </c>
      <c r="Q383" s="365">
        <v>0.8125</v>
      </c>
      <c r="R383" s="366">
        <f>IF(Table6[[#This Row],[Work Start TimeStamp]]="","",(Table6[[#This Row],[Work Start TimeStamp]]-Table6[[#This Row],[Fault Start TimeStamp]])*24)</f>
        <v>0</v>
      </c>
      <c r="S383" s="367">
        <f>(Table6[[#This Row],[Fault Clearance time]]-Table6[[#This Row],[Work Start TimeStamp]])*24</f>
        <v>0.83333333333333304</v>
      </c>
      <c r="T383" s="368">
        <f>(Table6[[#This Row],[Fault Clearance time]]-Table6[[#This Row],[Fault Start TimeStamp]])*24</f>
        <v>0.83333333333333304</v>
      </c>
      <c r="U383" s="364" t="s">
        <v>561</v>
      </c>
      <c r="V383" s="369" t="s">
        <v>463</v>
      </c>
      <c r="W383" s="354">
        <f>Table6[[#This Row],[Breakdown Time]]*(1/39)</f>
        <v>2.1367521367521358E-2</v>
      </c>
      <c r="X383" s="352" t="s">
        <v>464</v>
      </c>
      <c r="Y383" s="370" t="s">
        <v>117</v>
      </c>
      <c r="Z383" s="121">
        <v>7041</v>
      </c>
      <c r="AA383" s="123">
        <v>244.47916666666657</v>
      </c>
      <c r="AB383" s="121" t="s">
        <v>478</v>
      </c>
    </row>
    <row r="384" spans="1:28">
      <c r="A384" s="121">
        <f t="shared" si="5"/>
        <v>383</v>
      </c>
      <c r="B384" s="123">
        <f>YEAR(Table6[[#This Row],[Date]])+IF(MONTH(Table6[[#This Row],[Date]])&gt;=4,1,0)</f>
        <v>2026</v>
      </c>
      <c r="C384" s="121">
        <f>YEAR(Table6[[#This Row],[Date]])</f>
        <v>2025</v>
      </c>
      <c r="D384" s="121" t="s">
        <v>490</v>
      </c>
      <c r="E384" s="135">
        <f>Table6[[#This Row],[Date]]-DAY(Table6[[#This Row],[Date]])+1</f>
        <v>45748</v>
      </c>
      <c r="F384" s="134">
        <v>45772</v>
      </c>
      <c r="G384" s="121" t="s">
        <v>123</v>
      </c>
      <c r="H384" s="39" t="str">
        <f>_xlfn.XLOOKUP(Table6[[#This Row],[Affected WTG]],'Basic Data'!$A:$A,'Basic Data'!$B:$B)</f>
        <v>PWEGPL</v>
      </c>
      <c r="I384" s="39" t="str">
        <f>_xlfn.XLOOKUP(Table6[[#This Row],[Affected WTG]],'Basic Data'!$A:$A,'Basic Data'!$C:$C)</f>
        <v>MSEDCL</v>
      </c>
      <c r="J384" s="363">
        <f>IFERROR(VLOOKUP(Table6[[#This Row],[Affected WTG]],'Basic Data'!$A$3:$E$56,5,0),"")</f>
        <v>2.564102564102564E-2</v>
      </c>
      <c r="K384" s="121">
        <v>222</v>
      </c>
      <c r="L384" s="39" t="str">
        <f>IFERROR(VLOOKUP(Table6[[#This Row],[Error Code]],'Basic Data'!$T:$U,2,0),"")</f>
        <v>Very Low Pressure On Hydraulic Unit</v>
      </c>
      <c r="M384" s="364" t="s">
        <v>462</v>
      </c>
      <c r="O384" s="365">
        <v>0.40277777777777779</v>
      </c>
      <c r="P384" s="365">
        <v>0.43888888888888888</v>
      </c>
      <c r="Q384" s="365">
        <v>0.43958333333333333</v>
      </c>
      <c r="R384" s="366">
        <f>IF(Table6[[#This Row],[Work Start TimeStamp]]="","",(Table6[[#This Row],[Work Start TimeStamp]]-Table6[[#This Row],[Fault Start TimeStamp]])*24)</f>
        <v>0.86666666666666625</v>
      </c>
      <c r="S384" s="367">
        <f>(Table6[[#This Row],[Fault Clearance time]]-Table6[[#This Row],[Work Start TimeStamp]])*24</f>
        <v>1.6666666666666607E-2</v>
      </c>
      <c r="T384" s="368">
        <f>(Table6[[#This Row],[Fault Clearance time]]-Table6[[#This Row],[Fault Start TimeStamp]])*24</f>
        <v>0.88333333333333286</v>
      </c>
      <c r="U384" s="364" t="s">
        <v>493</v>
      </c>
      <c r="V384" s="369" t="s">
        <v>463</v>
      </c>
      <c r="W384" s="354">
        <f>Table6[[#This Row],[Breakdown Time]]*(1/39)</f>
        <v>2.2649572649572635E-2</v>
      </c>
      <c r="X384" s="352" t="s">
        <v>465</v>
      </c>
      <c r="Y384" s="370" t="s">
        <v>126</v>
      </c>
      <c r="Z384" s="121">
        <v>6063</v>
      </c>
      <c r="AA384" s="123">
        <v>223.15208333333322</v>
      </c>
      <c r="AB384" s="121" t="s">
        <v>478</v>
      </c>
    </row>
    <row r="385" spans="1:28">
      <c r="A385" s="121">
        <f t="shared" si="5"/>
        <v>384</v>
      </c>
      <c r="B385" s="123">
        <f>YEAR(Table6[[#This Row],[Date]])+IF(MONTH(Table6[[#This Row],[Date]])&gt;=4,1,0)</f>
        <v>2026</v>
      </c>
      <c r="C385" s="121">
        <f>YEAR(Table6[[#This Row],[Date]])</f>
        <v>2025</v>
      </c>
      <c r="D385" s="121" t="s">
        <v>490</v>
      </c>
      <c r="E385" s="135">
        <f>Table6[[#This Row],[Date]]-DAY(Table6[[#This Row],[Date]])+1</f>
        <v>45748</v>
      </c>
      <c r="F385" s="134">
        <v>45772</v>
      </c>
      <c r="G385" s="121" t="s">
        <v>126</v>
      </c>
      <c r="H385" s="39" t="str">
        <f>_xlfn.XLOOKUP(Table6[[#This Row],[Affected WTG]],'Basic Data'!$A:$A,'Basic Data'!$B:$B)</f>
        <v>PWEGPL</v>
      </c>
      <c r="I385" s="39" t="str">
        <f>_xlfn.XLOOKUP(Table6[[#This Row],[Affected WTG]],'Basic Data'!$A:$A,'Basic Data'!$C:$C)</f>
        <v>MSEDCL</v>
      </c>
      <c r="J385" s="363">
        <f>IFERROR(VLOOKUP(Table6[[#This Row],[Affected WTG]],'Basic Data'!$A$3:$E$56,5,0),"")</f>
        <v>2.564102564102564E-2</v>
      </c>
      <c r="K385" s="121">
        <v>2119</v>
      </c>
      <c r="L385" s="39" t="str">
        <f>IFERROR(VLOOKUP(Table6[[#This Row],[Error Code]],'Basic Data'!$T:$U,2,0),"")</f>
        <v>CTRL Error - Processor Stopped</v>
      </c>
      <c r="M385" s="364" t="s">
        <v>462</v>
      </c>
      <c r="O385" s="365">
        <v>0.3923611111111111</v>
      </c>
      <c r="P385" s="365">
        <v>0.43888888888888888</v>
      </c>
      <c r="Q385" s="365">
        <v>0.48958333333333331</v>
      </c>
      <c r="R385" s="366">
        <f>IF(Table6[[#This Row],[Work Start TimeStamp]]="","",(Table6[[#This Row],[Work Start TimeStamp]]-Table6[[#This Row],[Fault Start TimeStamp]])*24)</f>
        <v>1.1166666666666667</v>
      </c>
      <c r="S385" s="367">
        <f>(Table6[[#This Row],[Fault Clearance time]]-Table6[[#This Row],[Work Start TimeStamp]])*24</f>
        <v>1.2166666666666663</v>
      </c>
      <c r="T385" s="368">
        <f>(Table6[[#This Row],[Fault Clearance time]]-Table6[[#This Row],[Fault Start TimeStamp]])*24</f>
        <v>2.333333333333333</v>
      </c>
      <c r="U385" s="364" t="s">
        <v>562</v>
      </c>
      <c r="V385" s="369" t="s">
        <v>463</v>
      </c>
      <c r="W385" s="354">
        <f>Table6[[#This Row],[Breakdown Time]]*(1/39)</f>
        <v>5.9829059829059818E-2</v>
      </c>
      <c r="X385" s="352" t="s">
        <v>465</v>
      </c>
      <c r="Y385" s="370" t="s">
        <v>123</v>
      </c>
      <c r="Z385" s="121">
        <v>6032</v>
      </c>
      <c r="AA385" s="123">
        <v>586.44444444444434</v>
      </c>
      <c r="AB385" s="121" t="s">
        <v>478</v>
      </c>
    </row>
    <row r="386" spans="1:28">
      <c r="A386" s="121">
        <f t="shared" si="5"/>
        <v>385</v>
      </c>
      <c r="B386" s="123">
        <f>YEAR(Table6[[#This Row],[Date]])+IF(MONTH(Table6[[#This Row],[Date]])&gt;=4,1,0)</f>
        <v>2026</v>
      </c>
      <c r="C386" s="121">
        <f>YEAR(Table6[[#This Row],[Date]])</f>
        <v>2025</v>
      </c>
      <c r="D386" s="121" t="s">
        <v>490</v>
      </c>
      <c r="E386" s="135">
        <f>Table6[[#This Row],[Date]]-DAY(Table6[[#This Row],[Date]])+1</f>
        <v>45748</v>
      </c>
      <c r="F386" s="134">
        <v>45772</v>
      </c>
      <c r="G386" s="121" t="s">
        <v>136</v>
      </c>
      <c r="H386" s="39" t="str">
        <f>_xlfn.XLOOKUP(Table6[[#This Row],[Affected WTG]],'Basic Data'!$A:$A,'Basic Data'!$B:$B)</f>
        <v>PWEGPL</v>
      </c>
      <c r="I386" s="39" t="str">
        <f>_xlfn.XLOOKUP(Table6[[#This Row],[Affected WTG]],'Basic Data'!$A:$A,'Basic Data'!$C:$C)</f>
        <v>MSEDCL</v>
      </c>
      <c r="J386" s="363">
        <f>IFERROR(VLOOKUP(Table6[[#This Row],[Affected WTG]],'Basic Data'!$A$3:$E$56,5,0),"")</f>
        <v>2.564102564102564E-2</v>
      </c>
      <c r="K386" s="121" t="s">
        <v>466</v>
      </c>
      <c r="L386" s="39" t="str">
        <f>IFERROR(VLOOKUP(Table6[[#This Row],[Error Code]],'Basic Data'!$T:$U,2,0),"")</f>
        <v>Manual Stop</v>
      </c>
      <c r="M386" s="364" t="s">
        <v>479</v>
      </c>
      <c r="O386" s="365">
        <v>0.56805555555555554</v>
      </c>
      <c r="P386" s="365">
        <v>0.56805555555555554</v>
      </c>
      <c r="Q386" s="365">
        <v>0.62638888888888888</v>
      </c>
      <c r="R386" s="366">
        <f>IF(Table6[[#This Row],[Work Start TimeStamp]]="","",(Table6[[#This Row],[Work Start TimeStamp]]-Table6[[#This Row],[Fault Start TimeStamp]])*24)</f>
        <v>0</v>
      </c>
      <c r="S386" s="367">
        <f>(Table6[[#This Row],[Fault Clearance time]]-Table6[[#This Row],[Work Start TimeStamp]])*24</f>
        <v>1.4000000000000004</v>
      </c>
      <c r="T386" s="368">
        <f>(Table6[[#This Row],[Fault Clearance time]]-Table6[[#This Row],[Fault Start TimeStamp]])*24</f>
        <v>1.4000000000000004</v>
      </c>
      <c r="U386" s="364" t="s">
        <v>563</v>
      </c>
      <c r="V386" s="369" t="s">
        <v>463</v>
      </c>
      <c r="W386" s="354">
        <f>Table6[[#This Row],[Breakdown Time]]*(1/39)</f>
        <v>3.5897435897435909E-2</v>
      </c>
      <c r="X386" s="352" t="s">
        <v>464</v>
      </c>
      <c r="Y386" s="370" t="s">
        <v>119</v>
      </c>
      <c r="Z386" s="121">
        <v>6587</v>
      </c>
      <c r="AA386" s="123">
        <v>384.24166666666673</v>
      </c>
      <c r="AB386" s="121" t="s">
        <v>478</v>
      </c>
    </row>
    <row r="387" spans="1:28">
      <c r="A387" s="121">
        <f t="shared" si="5"/>
        <v>386</v>
      </c>
      <c r="B387" s="123">
        <f>YEAR(Table6[[#This Row],[Date]])+IF(MONTH(Table6[[#This Row],[Date]])&gt;=4,1,0)</f>
        <v>2026</v>
      </c>
      <c r="C387" s="121">
        <f>YEAR(Table6[[#This Row],[Date]])</f>
        <v>2025</v>
      </c>
      <c r="D387" s="121" t="s">
        <v>490</v>
      </c>
      <c r="E387" s="135">
        <f>Table6[[#This Row],[Date]]-DAY(Table6[[#This Row],[Date]])+1</f>
        <v>45748</v>
      </c>
      <c r="F387" s="134">
        <v>45772</v>
      </c>
      <c r="G387" s="121" t="s">
        <v>147</v>
      </c>
      <c r="H387" s="39" t="str">
        <f>_xlfn.XLOOKUP(Table6[[#This Row],[Affected WTG]],'Basic Data'!$A:$A,'Basic Data'!$B:$B)</f>
        <v>PWEGPL</v>
      </c>
      <c r="I387" s="39" t="str">
        <f>_xlfn.XLOOKUP(Table6[[#This Row],[Affected WTG]],'Basic Data'!$A:$A,'Basic Data'!$C:$C)</f>
        <v>MSEDCL</v>
      </c>
      <c r="J387" s="363">
        <f>IFERROR(VLOOKUP(Table6[[#This Row],[Affected WTG]],'Basic Data'!$A$3:$E$56,5,0),"")</f>
        <v>2.564102564102564E-2</v>
      </c>
      <c r="K387" s="121" t="s">
        <v>492</v>
      </c>
      <c r="L387" s="39" t="str">
        <f>IFERROR(VLOOKUP(Table6[[#This Row],[Error Code]],'Basic Data'!$T:$U,2,0),"")</f>
        <v>Manual Stop - Safety Related</v>
      </c>
      <c r="M387" s="364" t="s">
        <v>481</v>
      </c>
      <c r="O387" s="365">
        <v>0.61805555555555558</v>
      </c>
      <c r="P387" s="365">
        <v>0.61805555555555558</v>
      </c>
      <c r="Q387" s="365">
        <v>0.69791666666666663</v>
      </c>
      <c r="R387" s="366">
        <f>IF(Table6[[#This Row],[Work Start TimeStamp]]="","",(Table6[[#This Row],[Work Start TimeStamp]]-Table6[[#This Row],[Fault Start TimeStamp]])*24)</f>
        <v>0</v>
      </c>
      <c r="S387" s="367">
        <f>(Table6[[#This Row],[Fault Clearance time]]-Table6[[#This Row],[Work Start TimeStamp]])*24</f>
        <v>1.9166666666666652</v>
      </c>
      <c r="T387" s="368">
        <f>(Table6[[#This Row],[Fault Clearance time]]-Table6[[#This Row],[Fault Start TimeStamp]])*24</f>
        <v>1.9166666666666652</v>
      </c>
      <c r="U387" s="364" t="s">
        <v>508</v>
      </c>
      <c r="V387" s="369" t="s">
        <v>463</v>
      </c>
      <c r="W387" s="354">
        <f>Table6[[#This Row],[Breakdown Time]]*(1/39)</f>
        <v>4.9145299145299103E-2</v>
      </c>
      <c r="X387" s="352" t="s">
        <v>472</v>
      </c>
      <c r="Y387" s="370" t="s">
        <v>146</v>
      </c>
      <c r="Z387" s="121">
        <v>6842</v>
      </c>
      <c r="AA387" s="123">
        <v>546.40972222222172</v>
      </c>
      <c r="AB387" s="121" t="s">
        <v>478</v>
      </c>
    </row>
    <row r="388" spans="1:28">
      <c r="A388" s="121">
        <f t="shared" ref="A388:A451" si="6">A387+1</f>
        <v>387</v>
      </c>
      <c r="B388" s="123">
        <f>YEAR(Table6[[#This Row],[Date]])+IF(MONTH(Table6[[#This Row],[Date]])&gt;=4,1,0)</f>
        <v>2026</v>
      </c>
      <c r="C388" s="121">
        <f>YEAR(Table6[[#This Row],[Date]])</f>
        <v>2025</v>
      </c>
      <c r="D388" s="121" t="s">
        <v>490</v>
      </c>
      <c r="E388" s="135">
        <f>Table6[[#This Row],[Date]]-DAY(Table6[[#This Row],[Date]])+1</f>
        <v>45748</v>
      </c>
      <c r="F388" s="134">
        <v>45772</v>
      </c>
      <c r="G388" s="121" t="s">
        <v>152</v>
      </c>
      <c r="H388" s="39" t="str">
        <f>_xlfn.XLOOKUP(Table6[[#This Row],[Affected WTG]],'Basic Data'!$A:$A,'Basic Data'!$B:$B)</f>
        <v>PWEGPL</v>
      </c>
      <c r="I388" s="39" t="str">
        <f>_xlfn.XLOOKUP(Table6[[#This Row],[Affected WTG]],'Basic Data'!$A:$A,'Basic Data'!$C:$C)</f>
        <v>MSEDCL</v>
      </c>
      <c r="J388" s="363">
        <f>IFERROR(VLOOKUP(Table6[[#This Row],[Affected WTG]],'Basic Data'!$A$3:$E$56,5,0),"")</f>
        <v>2.564102564102564E-2</v>
      </c>
      <c r="K388" s="121" t="s">
        <v>466</v>
      </c>
      <c r="L388" s="39" t="str">
        <f>IFERROR(VLOOKUP(Table6[[#This Row],[Error Code]],'Basic Data'!$T:$U,2,0),"")</f>
        <v>Manual Stop</v>
      </c>
      <c r="M388" s="364" t="s">
        <v>479</v>
      </c>
      <c r="O388" s="365">
        <v>0.48125000000000001</v>
      </c>
      <c r="P388" s="365">
        <v>0.48125000000000001</v>
      </c>
      <c r="Q388" s="365">
        <v>0.77430555555555558</v>
      </c>
      <c r="R388" s="366">
        <f>IF(Table6[[#This Row],[Work Start TimeStamp]]="","",(Table6[[#This Row],[Work Start TimeStamp]]-Table6[[#This Row],[Fault Start TimeStamp]])*24)</f>
        <v>0</v>
      </c>
      <c r="S388" s="367">
        <f>(Table6[[#This Row],[Fault Clearance time]]-Table6[[#This Row],[Work Start TimeStamp]])*24</f>
        <v>7.0333333333333332</v>
      </c>
      <c r="T388" s="368">
        <f>(Table6[[#This Row],[Fault Clearance time]]-Table6[[#This Row],[Fault Start TimeStamp]])*24</f>
        <v>7.0333333333333332</v>
      </c>
      <c r="U388" s="364" t="s">
        <v>497</v>
      </c>
      <c r="V388" s="369" t="s">
        <v>463</v>
      </c>
      <c r="W388" s="354">
        <f>Table6[[#This Row],[Breakdown Time]]*(1/39)</f>
        <v>0.18034188034188034</v>
      </c>
      <c r="X388" s="352" t="s">
        <v>464</v>
      </c>
      <c r="Y388" s="370" t="s">
        <v>153</v>
      </c>
      <c r="Z388" s="121">
        <v>6849</v>
      </c>
      <c r="AA388" s="123">
        <v>2007.1375</v>
      </c>
      <c r="AB388" s="121" t="s">
        <v>478</v>
      </c>
    </row>
    <row r="389" spans="1:28">
      <c r="A389" s="121">
        <f t="shared" si="6"/>
        <v>388</v>
      </c>
      <c r="B389" s="123">
        <f>YEAR(Table6[[#This Row],[Date]])+IF(MONTH(Table6[[#This Row],[Date]])&gt;=4,1,0)</f>
        <v>2026</v>
      </c>
      <c r="C389" s="121">
        <f>YEAR(Table6[[#This Row],[Date]])</f>
        <v>2025</v>
      </c>
      <c r="D389" s="121" t="s">
        <v>490</v>
      </c>
      <c r="E389" s="135">
        <f>Table6[[#This Row],[Date]]-DAY(Table6[[#This Row],[Date]])+1</f>
        <v>45748</v>
      </c>
      <c r="F389" s="134">
        <v>45772</v>
      </c>
      <c r="G389" s="121" t="s">
        <v>133</v>
      </c>
      <c r="H389" s="39" t="str">
        <f>_xlfn.XLOOKUP(Table6[[#This Row],[Affected WTG]],'Basic Data'!$A:$A,'Basic Data'!$B:$B)</f>
        <v>PWEGPL</v>
      </c>
      <c r="I389" s="39" t="str">
        <f>_xlfn.XLOOKUP(Table6[[#This Row],[Affected WTG]],'Basic Data'!$A:$A,'Basic Data'!$C:$C)</f>
        <v>MSEDCL</v>
      </c>
      <c r="J389" s="363">
        <f>IFERROR(VLOOKUP(Table6[[#This Row],[Affected WTG]],'Basic Data'!$A$3:$E$56,5,0),"")</f>
        <v>2.564102564102564E-2</v>
      </c>
      <c r="K389" s="121">
        <v>110</v>
      </c>
      <c r="L389" s="39" t="str">
        <f>IFERROR(VLOOKUP(Table6[[#This Row],[Error Code]],'Basic Data'!$T:$U,2,0),"")</f>
        <v>Yaw Sensor Wiring Error</v>
      </c>
      <c r="M389" s="364" t="s">
        <v>462</v>
      </c>
      <c r="O389" s="365">
        <v>0.2638888888888889</v>
      </c>
      <c r="P389" s="365">
        <v>0.28749999999999998</v>
      </c>
      <c r="Q389" s="365">
        <v>0.31597222222222221</v>
      </c>
      <c r="R389" s="366">
        <f>IF(Table6[[#This Row],[Work Start TimeStamp]]="","",(Table6[[#This Row],[Work Start TimeStamp]]-Table6[[#This Row],[Fault Start TimeStamp]])*24)</f>
        <v>0.56666666666666599</v>
      </c>
      <c r="S389" s="367">
        <f>(Table6[[#This Row],[Fault Clearance time]]-Table6[[#This Row],[Work Start TimeStamp]])*24</f>
        <v>0.68333333333333357</v>
      </c>
      <c r="T389" s="368">
        <f>(Table6[[#This Row],[Fault Clearance time]]-Table6[[#This Row],[Fault Start TimeStamp]])*24</f>
        <v>1.2499999999999996</v>
      </c>
      <c r="U389" s="364" t="s">
        <v>564</v>
      </c>
      <c r="V389" s="369" t="s">
        <v>463</v>
      </c>
      <c r="W389" s="354">
        <f>Table6[[#This Row],[Breakdown Time]]*(1/39)</f>
        <v>3.2051282051282041E-2</v>
      </c>
      <c r="X389" s="352" t="s">
        <v>465</v>
      </c>
      <c r="Y389" s="370" t="s">
        <v>132</v>
      </c>
      <c r="Z389" s="121">
        <v>6345</v>
      </c>
      <c r="AA389" s="123">
        <v>330.46874999999989</v>
      </c>
      <c r="AB389" s="121" t="s">
        <v>478</v>
      </c>
    </row>
    <row r="390" spans="1:28">
      <c r="A390" s="121">
        <f t="shared" si="6"/>
        <v>389</v>
      </c>
      <c r="B390" s="123">
        <f>YEAR(Table6[[#This Row],[Date]])+IF(MONTH(Table6[[#This Row],[Date]])&gt;=4,1,0)</f>
        <v>2026</v>
      </c>
      <c r="C390" s="121">
        <f>YEAR(Table6[[#This Row],[Date]])</f>
        <v>2025</v>
      </c>
      <c r="D390" s="121" t="s">
        <v>490</v>
      </c>
      <c r="E390" s="135">
        <f>Table6[[#This Row],[Date]]-DAY(Table6[[#This Row],[Date]])+1</f>
        <v>45748</v>
      </c>
      <c r="F390" s="134">
        <v>45773</v>
      </c>
      <c r="G390" s="121" t="s">
        <v>144</v>
      </c>
      <c r="H390" s="39" t="str">
        <f>_xlfn.XLOOKUP(Table6[[#This Row],[Affected WTG]],'Basic Data'!$A:$A,'Basic Data'!$B:$B)</f>
        <v>PWEGPL</v>
      </c>
      <c r="I390" s="39" t="str">
        <f>_xlfn.XLOOKUP(Table6[[#This Row],[Affected WTG]],'Basic Data'!$A:$A,'Basic Data'!$C:$C)</f>
        <v>MSEDCL</v>
      </c>
      <c r="J390" s="363">
        <f>IFERROR(VLOOKUP(Table6[[#This Row],[Affected WTG]],'Basic Data'!$A$3:$E$56,5,0),"")</f>
        <v>2.564102564102564E-2</v>
      </c>
      <c r="K390" s="121" t="s">
        <v>492</v>
      </c>
      <c r="L390" s="39" t="str">
        <f>IFERROR(VLOOKUP(Table6[[#This Row],[Error Code]],'Basic Data'!$T:$U,2,0),"")</f>
        <v>Manual Stop - Safety Related</v>
      </c>
      <c r="M390" s="364" t="s">
        <v>481</v>
      </c>
      <c r="O390" s="365">
        <v>0</v>
      </c>
      <c r="P390" s="365">
        <v>0.99930555555555556</v>
      </c>
      <c r="Q390" s="365">
        <v>0.99930555555555556</v>
      </c>
      <c r="R390" s="366">
        <f>IF(Table6[[#This Row],[Work Start TimeStamp]]="","",(Table6[[#This Row],[Work Start TimeStamp]]-Table6[[#This Row],[Fault Start TimeStamp]])*24)</f>
        <v>23.983333333333334</v>
      </c>
      <c r="S390" s="367">
        <f>(Table6[[#This Row],[Fault Clearance time]]-Table6[[#This Row],[Work Start TimeStamp]])*24</f>
        <v>0</v>
      </c>
      <c r="T390" s="368">
        <f>(Table6[[#This Row],[Fault Clearance time]]-Table6[[#This Row],[Fault Start TimeStamp]])*24</f>
        <v>23.983333333333334</v>
      </c>
      <c r="U390" s="364" t="s">
        <v>498</v>
      </c>
      <c r="V390" s="369" t="s">
        <v>473</v>
      </c>
      <c r="W390" s="354">
        <f>Table6[[#This Row],[Breakdown Time]]*(1/39)</f>
        <v>0.61495726495726499</v>
      </c>
      <c r="X390" s="352" t="s">
        <v>468</v>
      </c>
      <c r="Y390" s="370" t="s">
        <v>141</v>
      </c>
      <c r="Z390" s="121">
        <v>8839</v>
      </c>
      <c r="AA390" s="123">
        <v>8832.8618055555562</v>
      </c>
      <c r="AB390" s="121" t="s">
        <v>478</v>
      </c>
    </row>
    <row r="391" spans="1:28">
      <c r="A391" s="121">
        <f t="shared" si="6"/>
        <v>390</v>
      </c>
      <c r="B391" s="123">
        <f>YEAR(Table6[[#This Row],[Date]])+IF(MONTH(Table6[[#This Row],[Date]])&gt;=4,1,0)</f>
        <v>2026</v>
      </c>
      <c r="C391" s="121">
        <f>YEAR(Table6[[#This Row],[Date]])</f>
        <v>2025</v>
      </c>
      <c r="D391" s="121" t="s">
        <v>490</v>
      </c>
      <c r="E391" s="135">
        <f>Table6[[#This Row],[Date]]-DAY(Table6[[#This Row],[Date]])+1</f>
        <v>45748</v>
      </c>
      <c r="F391" s="134">
        <v>45773</v>
      </c>
      <c r="G391" s="121" t="s">
        <v>142</v>
      </c>
      <c r="H391" s="39" t="str">
        <f>_xlfn.XLOOKUP(Table6[[#This Row],[Affected WTG]],'Basic Data'!$A:$A,'Basic Data'!$B:$B)</f>
        <v>PWEGPL</v>
      </c>
      <c r="I391" s="39" t="str">
        <f>_xlfn.XLOOKUP(Table6[[#This Row],[Affected WTG]],'Basic Data'!$A:$A,'Basic Data'!$C:$C)</f>
        <v>MSEDCL</v>
      </c>
      <c r="J391" s="363">
        <f>IFERROR(VLOOKUP(Table6[[#This Row],[Affected WTG]],'Basic Data'!$A$3:$E$56,5,0),"")</f>
        <v>2.564102564102564E-2</v>
      </c>
      <c r="K391" s="121" t="s">
        <v>492</v>
      </c>
      <c r="L391" s="39" t="str">
        <f>IFERROR(VLOOKUP(Table6[[#This Row],[Error Code]],'Basic Data'!$T:$U,2,0),"")</f>
        <v>Manual Stop - Safety Related</v>
      </c>
      <c r="M391" s="364" t="s">
        <v>481</v>
      </c>
      <c r="O391" s="365">
        <v>0</v>
      </c>
      <c r="P391" s="365">
        <v>0.99930555555555556</v>
      </c>
      <c r="Q391" s="365">
        <v>0.99930555555555556</v>
      </c>
      <c r="R391" s="366">
        <f>IF(Table6[[#This Row],[Work Start TimeStamp]]="","",(Table6[[#This Row],[Work Start TimeStamp]]-Table6[[#This Row],[Fault Start TimeStamp]])*24)</f>
        <v>23.983333333333334</v>
      </c>
      <c r="S391" s="367">
        <f>(Table6[[#This Row],[Fault Clearance time]]-Table6[[#This Row],[Work Start TimeStamp]])*24</f>
        <v>0</v>
      </c>
      <c r="T391" s="368">
        <f>(Table6[[#This Row],[Fault Clearance time]]-Table6[[#This Row],[Fault Start TimeStamp]])*24</f>
        <v>23.983333333333334</v>
      </c>
      <c r="U391" s="364" t="s">
        <v>498</v>
      </c>
      <c r="V391" s="369" t="s">
        <v>473</v>
      </c>
      <c r="W391" s="354">
        <f>Table6[[#This Row],[Breakdown Time]]*(1/39)</f>
        <v>0.61495726495726499</v>
      </c>
      <c r="X391" s="352" t="s">
        <v>468</v>
      </c>
      <c r="Y391" s="370" t="s">
        <v>141</v>
      </c>
      <c r="Z391" s="121">
        <v>8839</v>
      </c>
      <c r="AA391" s="123">
        <v>8832.8618055555562</v>
      </c>
      <c r="AB391" s="121" t="s">
        <v>478</v>
      </c>
    </row>
    <row r="392" spans="1:28">
      <c r="A392" s="121">
        <f t="shared" si="6"/>
        <v>391</v>
      </c>
      <c r="B392" s="123">
        <f>YEAR(Table6[[#This Row],[Date]])+IF(MONTH(Table6[[#This Row],[Date]])&gt;=4,1,0)</f>
        <v>2026</v>
      </c>
      <c r="C392" s="121">
        <f>YEAR(Table6[[#This Row],[Date]])</f>
        <v>2025</v>
      </c>
      <c r="D392" s="121" t="s">
        <v>490</v>
      </c>
      <c r="E392" s="135">
        <f>Table6[[#This Row],[Date]]-DAY(Table6[[#This Row],[Date]])+1</f>
        <v>45748</v>
      </c>
      <c r="F392" s="134">
        <v>45773</v>
      </c>
      <c r="G392" s="121" t="s">
        <v>120</v>
      </c>
      <c r="H392" s="39" t="str">
        <f>_xlfn.XLOOKUP(Table6[[#This Row],[Affected WTG]],'Basic Data'!$A:$A,'Basic Data'!$B:$B)</f>
        <v>PWEGPL</v>
      </c>
      <c r="I392" s="39" t="str">
        <f>_xlfn.XLOOKUP(Table6[[#This Row],[Affected WTG]],'Basic Data'!$A:$A,'Basic Data'!$C:$C)</f>
        <v>MSEDCL</v>
      </c>
      <c r="J392" s="363">
        <f>IFERROR(VLOOKUP(Table6[[#This Row],[Affected WTG]],'Basic Data'!$A$3:$E$56,5,0),"")</f>
        <v>2.564102564102564E-2</v>
      </c>
      <c r="K392" s="121" t="s">
        <v>466</v>
      </c>
      <c r="L392" s="39" t="str">
        <f>IFERROR(VLOOKUP(Table6[[#This Row],[Error Code]],'Basic Data'!$T:$U,2,0),"")</f>
        <v>Manual Stop</v>
      </c>
      <c r="M392" s="364" t="s">
        <v>479</v>
      </c>
      <c r="O392" s="365">
        <v>0.46180555555555558</v>
      </c>
      <c r="P392" s="365">
        <v>0.46180555555555558</v>
      </c>
      <c r="Q392" s="365">
        <v>0.60069444444444442</v>
      </c>
      <c r="R392" s="366">
        <f>IF(Table6[[#This Row],[Work Start TimeStamp]]="","",(Table6[[#This Row],[Work Start TimeStamp]]-Table6[[#This Row],[Fault Start TimeStamp]])*24)</f>
        <v>0</v>
      </c>
      <c r="S392" s="367">
        <f>(Table6[[#This Row],[Fault Clearance time]]-Table6[[#This Row],[Work Start TimeStamp]])*24</f>
        <v>3.3333333333333321</v>
      </c>
      <c r="T392" s="368">
        <f>(Table6[[#This Row],[Fault Clearance time]]-Table6[[#This Row],[Fault Start TimeStamp]])*24</f>
        <v>3.3333333333333321</v>
      </c>
      <c r="U392" s="364" t="s">
        <v>560</v>
      </c>
      <c r="V392" s="369" t="s">
        <v>463</v>
      </c>
      <c r="W392" s="354">
        <f>Table6[[#This Row],[Breakdown Time]]*(1/39)</f>
        <v>8.547008547008543E-2</v>
      </c>
      <c r="X392" s="352" t="s">
        <v>464</v>
      </c>
      <c r="Y392" s="370" t="s">
        <v>117</v>
      </c>
      <c r="Z392" s="121">
        <v>10932</v>
      </c>
      <c r="AA392" s="123">
        <v>1518.3333333333328</v>
      </c>
      <c r="AB392" s="121" t="s">
        <v>478</v>
      </c>
    </row>
    <row r="393" spans="1:28">
      <c r="A393" s="121">
        <f t="shared" si="6"/>
        <v>392</v>
      </c>
      <c r="B393" s="123">
        <f>YEAR(Table6[[#This Row],[Date]])+IF(MONTH(Table6[[#This Row],[Date]])&gt;=4,1,0)</f>
        <v>2026</v>
      </c>
      <c r="C393" s="121">
        <f>YEAR(Table6[[#This Row],[Date]])</f>
        <v>2025</v>
      </c>
      <c r="D393" s="121" t="s">
        <v>490</v>
      </c>
      <c r="E393" s="135">
        <f>Table6[[#This Row],[Date]]-DAY(Table6[[#This Row],[Date]])+1</f>
        <v>45748</v>
      </c>
      <c r="F393" s="134">
        <v>45773</v>
      </c>
      <c r="G393" s="121" t="s">
        <v>135</v>
      </c>
      <c r="H393" s="39" t="str">
        <f>_xlfn.XLOOKUP(Table6[[#This Row],[Affected WTG]],'Basic Data'!$A:$A,'Basic Data'!$B:$B)</f>
        <v>PWEGPL</v>
      </c>
      <c r="I393" s="39" t="str">
        <f>_xlfn.XLOOKUP(Table6[[#This Row],[Affected WTG]],'Basic Data'!$A:$A,'Basic Data'!$C:$C)</f>
        <v>MSEDCL</v>
      </c>
      <c r="J393" s="363">
        <f>IFERROR(VLOOKUP(Table6[[#This Row],[Affected WTG]],'Basic Data'!$A$3:$E$56,5,0),"")</f>
        <v>2.564102564102564E-2</v>
      </c>
      <c r="K393" s="121" t="s">
        <v>492</v>
      </c>
      <c r="L393" s="39" t="str">
        <f>IFERROR(VLOOKUP(Table6[[#This Row],[Error Code]],'Basic Data'!$T:$U,2,0),"")</f>
        <v>Manual Stop - Safety Related</v>
      </c>
      <c r="M393" s="364" t="s">
        <v>481</v>
      </c>
      <c r="O393" s="365">
        <v>0.46875</v>
      </c>
      <c r="P393" s="365">
        <v>0.46875</v>
      </c>
      <c r="Q393" s="365">
        <v>0.59027777777777779</v>
      </c>
      <c r="R393" s="366">
        <f>IF(Table6[[#This Row],[Work Start TimeStamp]]="","",(Table6[[#This Row],[Work Start TimeStamp]]-Table6[[#This Row],[Fault Start TimeStamp]])*24)</f>
        <v>0</v>
      </c>
      <c r="S393" s="367">
        <f>(Table6[[#This Row],[Fault Clearance time]]-Table6[[#This Row],[Work Start TimeStamp]])*24</f>
        <v>2.916666666666667</v>
      </c>
      <c r="T393" s="368">
        <f>(Table6[[#This Row],[Fault Clearance time]]-Table6[[#This Row],[Fault Start TimeStamp]])*24</f>
        <v>2.916666666666667</v>
      </c>
      <c r="U393" s="364" t="s">
        <v>508</v>
      </c>
      <c r="V393" s="369" t="s">
        <v>463</v>
      </c>
      <c r="W393" s="354">
        <f>Table6[[#This Row],[Breakdown Time]]*(1/39)</f>
        <v>7.4786324786324798E-2</v>
      </c>
      <c r="X393" s="352" t="s">
        <v>468</v>
      </c>
      <c r="Y393" s="370" t="s">
        <v>136</v>
      </c>
      <c r="Z393" s="121">
        <v>8563</v>
      </c>
      <c r="AA393" s="123">
        <v>1040.6423611111113</v>
      </c>
      <c r="AB393" s="121" t="s">
        <v>478</v>
      </c>
    </row>
    <row r="394" spans="1:28">
      <c r="A394" s="121">
        <f t="shared" si="6"/>
        <v>393</v>
      </c>
      <c r="B394" s="123">
        <f>YEAR(Table6[[#This Row],[Date]])+IF(MONTH(Table6[[#This Row],[Date]])&gt;=4,1,0)</f>
        <v>2026</v>
      </c>
      <c r="C394" s="121">
        <f>YEAR(Table6[[#This Row],[Date]])</f>
        <v>2025</v>
      </c>
      <c r="D394" s="121" t="s">
        <v>490</v>
      </c>
      <c r="E394" s="135">
        <f>Table6[[#This Row],[Date]]-DAY(Table6[[#This Row],[Date]])+1</f>
        <v>45748</v>
      </c>
      <c r="F394" s="134">
        <v>45773</v>
      </c>
      <c r="G394" s="121" t="s">
        <v>136</v>
      </c>
      <c r="H394" s="39" t="str">
        <f>_xlfn.XLOOKUP(Table6[[#This Row],[Affected WTG]],'Basic Data'!$A:$A,'Basic Data'!$B:$B)</f>
        <v>PWEGPL</v>
      </c>
      <c r="I394" s="39" t="str">
        <f>_xlfn.XLOOKUP(Table6[[#This Row],[Affected WTG]],'Basic Data'!$A:$A,'Basic Data'!$C:$C)</f>
        <v>MSEDCL</v>
      </c>
      <c r="J394" s="363">
        <f>IFERROR(VLOOKUP(Table6[[#This Row],[Affected WTG]],'Basic Data'!$A$3:$E$56,5,0),"")</f>
        <v>2.564102564102564E-2</v>
      </c>
      <c r="K394" s="121">
        <v>500</v>
      </c>
      <c r="L394" s="39" t="str">
        <f>IFERROR(VLOOKUP(Table6[[#This Row],[Error Code]],'Basic Data'!$T:$U,2,0),"")</f>
        <v>High Generator Winding Temperature</v>
      </c>
      <c r="M394" s="364" t="s">
        <v>462</v>
      </c>
      <c r="O394" s="365">
        <v>0.54513888888888884</v>
      </c>
      <c r="P394" s="365">
        <v>0.54513888888888884</v>
      </c>
      <c r="Q394" s="365">
        <v>0.54861111111111116</v>
      </c>
      <c r="R394" s="366">
        <f>IF(Table6[[#This Row],[Work Start TimeStamp]]="","",(Table6[[#This Row],[Work Start TimeStamp]]-Table6[[#This Row],[Fault Start TimeStamp]])*24)</f>
        <v>0</v>
      </c>
      <c r="S394" s="367">
        <f>(Table6[[#This Row],[Fault Clearance time]]-Table6[[#This Row],[Work Start TimeStamp]])*24</f>
        <v>8.3333333333335702E-2</v>
      </c>
      <c r="T394" s="368">
        <f>(Table6[[#This Row],[Fault Clearance time]]-Table6[[#This Row],[Fault Start TimeStamp]])*24</f>
        <v>8.3333333333335702E-2</v>
      </c>
      <c r="U394" s="364" t="s">
        <v>480</v>
      </c>
      <c r="V394" s="369" t="s">
        <v>463</v>
      </c>
      <c r="W394" s="354">
        <f>Table6[[#This Row],[Breakdown Time]]*(1/39)</f>
        <v>2.1367521367521972E-3</v>
      </c>
      <c r="X394" s="352" t="s">
        <v>465</v>
      </c>
      <c r="Y394" s="370" t="s">
        <v>135</v>
      </c>
      <c r="Z394" s="121">
        <v>8363</v>
      </c>
      <c r="AA394" s="123">
        <v>29.038194444445267</v>
      </c>
      <c r="AB394" s="121" t="s">
        <v>478</v>
      </c>
    </row>
    <row r="395" spans="1:28">
      <c r="A395" s="121">
        <f t="shared" si="6"/>
        <v>394</v>
      </c>
      <c r="B395" s="123">
        <f>YEAR(Table6[[#This Row],[Date]])+IF(MONTH(Table6[[#This Row],[Date]])&gt;=4,1,0)</f>
        <v>2026</v>
      </c>
      <c r="C395" s="121">
        <f>YEAR(Table6[[#This Row],[Date]])</f>
        <v>2025</v>
      </c>
      <c r="D395" s="121" t="s">
        <v>490</v>
      </c>
      <c r="E395" s="135">
        <f>Table6[[#This Row],[Date]]-DAY(Table6[[#This Row],[Date]])+1</f>
        <v>45748</v>
      </c>
      <c r="F395" s="134">
        <v>45773</v>
      </c>
      <c r="G395" s="121" t="s">
        <v>136</v>
      </c>
      <c r="H395" s="39" t="str">
        <f>_xlfn.XLOOKUP(Table6[[#This Row],[Affected WTG]],'Basic Data'!$A:$A,'Basic Data'!$B:$B)</f>
        <v>PWEGPL</v>
      </c>
      <c r="I395" s="39" t="str">
        <f>_xlfn.XLOOKUP(Table6[[#This Row],[Affected WTG]],'Basic Data'!$A:$A,'Basic Data'!$C:$C)</f>
        <v>MSEDCL</v>
      </c>
      <c r="J395" s="363">
        <f>IFERROR(VLOOKUP(Table6[[#This Row],[Affected WTG]],'Basic Data'!$A$3:$E$56,5,0),"")</f>
        <v>2.564102564102564E-2</v>
      </c>
      <c r="K395" s="121">
        <v>500</v>
      </c>
      <c r="L395" s="39" t="str">
        <f>IFERROR(VLOOKUP(Table6[[#This Row],[Error Code]],'Basic Data'!$T:$U,2,0),"")</f>
        <v>High Generator Winding Temperature</v>
      </c>
      <c r="M395" s="364" t="s">
        <v>462</v>
      </c>
      <c r="O395" s="365">
        <v>0.67361111111111116</v>
      </c>
      <c r="P395" s="365">
        <v>0.67361111111111116</v>
      </c>
      <c r="Q395" s="365">
        <v>0.67708333333333337</v>
      </c>
      <c r="R395" s="366">
        <f>IF(Table6[[#This Row],[Work Start TimeStamp]]="","",(Table6[[#This Row],[Work Start TimeStamp]]-Table6[[#This Row],[Fault Start TimeStamp]])*24)</f>
        <v>0</v>
      </c>
      <c r="S395" s="367">
        <f>(Table6[[#This Row],[Fault Clearance time]]-Table6[[#This Row],[Work Start TimeStamp]])*24</f>
        <v>8.3333333333333037E-2</v>
      </c>
      <c r="T395" s="368">
        <f>(Table6[[#This Row],[Fault Clearance time]]-Table6[[#This Row],[Fault Start TimeStamp]])*24</f>
        <v>8.3333333333333037E-2</v>
      </c>
      <c r="U395" s="364" t="s">
        <v>480</v>
      </c>
      <c r="V395" s="369" t="s">
        <v>463</v>
      </c>
      <c r="W395" s="354">
        <f>Table6[[#This Row],[Breakdown Time]]*(1/39)</f>
        <v>2.1367521367521292E-3</v>
      </c>
      <c r="X395" s="352" t="s">
        <v>465</v>
      </c>
      <c r="Y395" s="370" t="s">
        <v>135</v>
      </c>
      <c r="Z395" s="121">
        <v>8363</v>
      </c>
      <c r="AA395" s="123">
        <v>29.03819444444434</v>
      </c>
      <c r="AB395" s="121" t="s">
        <v>478</v>
      </c>
    </row>
    <row r="396" spans="1:28">
      <c r="A396" s="121">
        <f t="shared" si="6"/>
        <v>395</v>
      </c>
      <c r="B396" s="123">
        <f>YEAR(Table6[[#This Row],[Date]])+IF(MONTH(Table6[[#This Row],[Date]])&gt;=4,1,0)</f>
        <v>2026</v>
      </c>
      <c r="C396" s="121">
        <f>YEAR(Table6[[#This Row],[Date]])</f>
        <v>2025</v>
      </c>
      <c r="D396" s="121" t="s">
        <v>490</v>
      </c>
      <c r="E396" s="135">
        <f>Table6[[#This Row],[Date]]-DAY(Table6[[#This Row],[Date]])+1</f>
        <v>45748</v>
      </c>
      <c r="F396" s="134">
        <v>45773</v>
      </c>
      <c r="G396" s="121" t="s">
        <v>138</v>
      </c>
      <c r="H396" s="39" t="str">
        <f>_xlfn.XLOOKUP(Table6[[#This Row],[Affected WTG]],'Basic Data'!$A:$A,'Basic Data'!$B:$B)</f>
        <v>PWEGPL</v>
      </c>
      <c r="I396" s="39" t="str">
        <f>_xlfn.XLOOKUP(Table6[[#This Row],[Affected WTG]],'Basic Data'!$A:$A,'Basic Data'!$C:$C)</f>
        <v>MSEDCL</v>
      </c>
      <c r="J396" s="363">
        <f>IFERROR(VLOOKUP(Table6[[#This Row],[Affected WTG]],'Basic Data'!$A$3:$E$56,5,0),"")</f>
        <v>2.564102564102564E-2</v>
      </c>
      <c r="K396" s="121" t="s">
        <v>476</v>
      </c>
      <c r="L396" s="39" t="str">
        <f>IFERROR(VLOOKUP(Table6[[#This Row],[Error Code]],'Basic Data'!$T:$U,2,0),"")</f>
        <v>Manual Stop - Preventive Maintenance Activity</v>
      </c>
      <c r="M396" s="364" t="s">
        <v>474</v>
      </c>
      <c r="O396" s="365">
        <v>0.49652777777777779</v>
      </c>
      <c r="P396" s="365">
        <v>0.49652777777777779</v>
      </c>
      <c r="Q396" s="365">
        <v>0.80555555555555558</v>
      </c>
      <c r="R396" s="366">
        <f>IF(Table6[[#This Row],[Work Start TimeStamp]]="","",(Table6[[#This Row],[Work Start TimeStamp]]-Table6[[#This Row],[Fault Start TimeStamp]])*24)</f>
        <v>0</v>
      </c>
      <c r="S396" s="367">
        <f>(Table6[[#This Row],[Fault Clearance time]]-Table6[[#This Row],[Work Start TimeStamp]])*24</f>
        <v>7.416666666666667</v>
      </c>
      <c r="T396" s="368">
        <f>(Table6[[#This Row],[Fault Clearance time]]-Table6[[#This Row],[Fault Start TimeStamp]])*24</f>
        <v>7.416666666666667</v>
      </c>
      <c r="U396" s="364" t="s">
        <v>565</v>
      </c>
      <c r="V396" s="369" t="s">
        <v>463</v>
      </c>
      <c r="W396" s="354">
        <f>Table6[[#This Row],[Breakdown Time]]*(1/39)</f>
        <v>0.19017094017094016</v>
      </c>
      <c r="X396" s="352" t="s">
        <v>467</v>
      </c>
      <c r="Y396" s="370" t="s">
        <v>140</v>
      </c>
      <c r="Z396" s="121">
        <v>8858</v>
      </c>
      <c r="AA396" s="123">
        <v>2737.3680555555557</v>
      </c>
      <c r="AB396" s="121" t="s">
        <v>478</v>
      </c>
    </row>
    <row r="397" spans="1:28">
      <c r="A397" s="121">
        <f t="shared" si="6"/>
        <v>396</v>
      </c>
      <c r="B397" s="123">
        <f>YEAR(Table6[[#This Row],[Date]])+IF(MONTH(Table6[[#This Row],[Date]])&gt;=4,1,0)</f>
        <v>2026</v>
      </c>
      <c r="C397" s="121">
        <f>YEAR(Table6[[#This Row],[Date]])</f>
        <v>2025</v>
      </c>
      <c r="D397" s="121" t="s">
        <v>490</v>
      </c>
      <c r="E397" s="135">
        <f>Table6[[#This Row],[Date]]-DAY(Table6[[#This Row],[Date]])+1</f>
        <v>45748</v>
      </c>
      <c r="F397" s="134">
        <v>45773</v>
      </c>
      <c r="G397" s="121" t="s">
        <v>149</v>
      </c>
      <c r="H397" s="39" t="str">
        <f>_xlfn.XLOOKUP(Table6[[#This Row],[Affected WTG]],'Basic Data'!$A:$A,'Basic Data'!$B:$B)</f>
        <v>PWEGPL</v>
      </c>
      <c r="I397" s="39" t="str">
        <f>_xlfn.XLOOKUP(Table6[[#This Row],[Affected WTG]],'Basic Data'!$A:$A,'Basic Data'!$C:$C)</f>
        <v>MSEDCL</v>
      </c>
      <c r="J397" s="363">
        <f>IFERROR(VLOOKUP(Table6[[#This Row],[Affected WTG]],'Basic Data'!$A$3:$E$56,5,0),"")</f>
        <v>2.564102564102564E-2</v>
      </c>
      <c r="K397" s="121">
        <v>2118</v>
      </c>
      <c r="L397" s="39" t="str">
        <f>IFERROR(VLOOKUP(Table6[[#This Row],[Error Code]],'Basic Data'!$T:$U,2,0),"")</f>
        <v>Bus Error - Interbus Failure</v>
      </c>
      <c r="M397" s="364" t="s">
        <v>462</v>
      </c>
      <c r="O397" s="365">
        <v>0.67361111111111116</v>
      </c>
      <c r="P397" s="365">
        <v>0.69930555555555551</v>
      </c>
      <c r="Q397" s="365">
        <v>0.7006944444444444</v>
      </c>
      <c r="R397" s="366">
        <f>IF(Table6[[#This Row],[Work Start TimeStamp]]="","",(Table6[[#This Row],[Work Start TimeStamp]]-Table6[[#This Row],[Fault Start TimeStamp]])*24)</f>
        <v>0.61666666666666448</v>
      </c>
      <c r="S397" s="367">
        <f>(Table6[[#This Row],[Fault Clearance time]]-Table6[[#This Row],[Work Start TimeStamp]])*24</f>
        <v>3.3333333333333215E-2</v>
      </c>
      <c r="T397" s="368">
        <f>(Table6[[#This Row],[Fault Clearance time]]-Table6[[#This Row],[Fault Start TimeStamp]])*24</f>
        <v>0.64999999999999769</v>
      </c>
      <c r="U397" s="364" t="s">
        <v>491</v>
      </c>
      <c r="V397" s="369" t="s">
        <v>463</v>
      </c>
      <c r="W397" s="354">
        <f>Table6[[#This Row],[Breakdown Time]]*(1/39)</f>
        <v>1.6666666666666607E-2</v>
      </c>
      <c r="X397" s="352" t="s">
        <v>465</v>
      </c>
      <c r="Y397" s="370" t="s">
        <v>148</v>
      </c>
      <c r="Z397" s="121">
        <v>9344</v>
      </c>
      <c r="AA397" s="123">
        <v>253.06666666666575</v>
      </c>
      <c r="AB397" s="121" t="s">
        <v>478</v>
      </c>
    </row>
    <row r="398" spans="1:28">
      <c r="A398" s="121">
        <f t="shared" si="6"/>
        <v>397</v>
      </c>
      <c r="B398" s="123">
        <f>YEAR(Table6[[#This Row],[Date]])+IF(MONTH(Table6[[#This Row],[Date]])&gt;=4,1,0)</f>
        <v>2026</v>
      </c>
      <c r="C398" s="121">
        <f>YEAR(Table6[[#This Row],[Date]])</f>
        <v>2025</v>
      </c>
      <c r="D398" s="121" t="s">
        <v>490</v>
      </c>
      <c r="E398" s="135">
        <f>Table6[[#This Row],[Date]]-DAY(Table6[[#This Row],[Date]])+1</f>
        <v>45748</v>
      </c>
      <c r="F398" s="134">
        <v>45774</v>
      </c>
      <c r="G398" s="121" t="s">
        <v>144</v>
      </c>
      <c r="H398" s="39" t="str">
        <f>_xlfn.XLOOKUP(Table6[[#This Row],[Affected WTG]],'Basic Data'!$A:$A,'Basic Data'!$B:$B)</f>
        <v>PWEGPL</v>
      </c>
      <c r="I398" s="39" t="str">
        <f>_xlfn.XLOOKUP(Table6[[#This Row],[Affected WTG]],'Basic Data'!$A:$A,'Basic Data'!$C:$C)</f>
        <v>MSEDCL</v>
      </c>
      <c r="J398" s="363">
        <f>IFERROR(VLOOKUP(Table6[[#This Row],[Affected WTG]],'Basic Data'!$A$3:$E$56,5,0),"")</f>
        <v>2.564102564102564E-2</v>
      </c>
      <c r="K398" s="121" t="s">
        <v>492</v>
      </c>
      <c r="L398" s="39" t="str">
        <f>IFERROR(VLOOKUP(Table6[[#This Row],[Error Code]],'Basic Data'!$T:$U,2,0),"")</f>
        <v>Manual Stop - Safety Related</v>
      </c>
      <c r="M398" s="364" t="s">
        <v>481</v>
      </c>
      <c r="O398" s="365">
        <v>0</v>
      </c>
      <c r="P398" s="365">
        <v>0.99930555555555556</v>
      </c>
      <c r="Q398" s="365">
        <v>0.99930555555555556</v>
      </c>
      <c r="R398" s="366">
        <f>IF(Table6[[#This Row],[Work Start TimeStamp]]="","",(Table6[[#This Row],[Work Start TimeStamp]]-Table6[[#This Row],[Fault Start TimeStamp]])*24)</f>
        <v>23.983333333333334</v>
      </c>
      <c r="S398" s="367">
        <f>(Table6[[#This Row],[Fault Clearance time]]-Table6[[#This Row],[Work Start TimeStamp]])*24</f>
        <v>0</v>
      </c>
      <c r="T398" s="368">
        <f>(Table6[[#This Row],[Fault Clearance time]]-Table6[[#This Row],[Fault Start TimeStamp]])*24</f>
        <v>23.983333333333334</v>
      </c>
      <c r="U398" s="364" t="s">
        <v>498</v>
      </c>
      <c r="V398" s="369" t="s">
        <v>473</v>
      </c>
      <c r="W398" s="354">
        <f>Table6[[#This Row],[Breakdown Time]]*(1/39)</f>
        <v>0.61495726495726499</v>
      </c>
      <c r="X398" s="352" t="s">
        <v>468</v>
      </c>
      <c r="Y398" s="370" t="s">
        <v>141</v>
      </c>
      <c r="Z398" s="121">
        <v>4867</v>
      </c>
      <c r="AA398" s="123">
        <v>4863.6201388888885</v>
      </c>
      <c r="AB398" s="121" t="s">
        <v>478</v>
      </c>
    </row>
    <row r="399" spans="1:28">
      <c r="A399" s="121">
        <f t="shared" si="6"/>
        <v>398</v>
      </c>
      <c r="B399" s="123">
        <f>YEAR(Table6[[#This Row],[Date]])+IF(MONTH(Table6[[#This Row],[Date]])&gt;=4,1,0)</f>
        <v>2026</v>
      </c>
      <c r="C399" s="121">
        <f>YEAR(Table6[[#This Row],[Date]])</f>
        <v>2025</v>
      </c>
      <c r="D399" s="121" t="s">
        <v>490</v>
      </c>
      <c r="E399" s="135">
        <f>Table6[[#This Row],[Date]]-DAY(Table6[[#This Row],[Date]])+1</f>
        <v>45748</v>
      </c>
      <c r="F399" s="134">
        <v>45774</v>
      </c>
      <c r="G399" s="121" t="s">
        <v>142</v>
      </c>
      <c r="H399" s="39" t="str">
        <f>_xlfn.XLOOKUP(Table6[[#This Row],[Affected WTG]],'Basic Data'!$A:$A,'Basic Data'!$B:$B)</f>
        <v>PWEGPL</v>
      </c>
      <c r="I399" s="39" t="str">
        <f>_xlfn.XLOOKUP(Table6[[#This Row],[Affected WTG]],'Basic Data'!$A:$A,'Basic Data'!$C:$C)</f>
        <v>MSEDCL</v>
      </c>
      <c r="J399" s="363">
        <f>IFERROR(VLOOKUP(Table6[[#This Row],[Affected WTG]],'Basic Data'!$A$3:$E$56,5,0),"")</f>
        <v>2.564102564102564E-2</v>
      </c>
      <c r="K399" s="121" t="s">
        <v>492</v>
      </c>
      <c r="L399" s="39" t="str">
        <f>IFERROR(VLOOKUP(Table6[[#This Row],[Error Code]],'Basic Data'!$T:$U,2,0),"")</f>
        <v>Manual Stop - Safety Related</v>
      </c>
      <c r="M399" s="364" t="s">
        <v>481</v>
      </c>
      <c r="O399" s="365">
        <v>0</v>
      </c>
      <c r="P399" s="365">
        <v>0.99930555555555556</v>
      </c>
      <c r="Q399" s="365">
        <v>0.99930555555555556</v>
      </c>
      <c r="R399" s="366">
        <f>IF(Table6[[#This Row],[Work Start TimeStamp]]="","",(Table6[[#This Row],[Work Start TimeStamp]]-Table6[[#This Row],[Fault Start TimeStamp]])*24)</f>
        <v>23.983333333333334</v>
      </c>
      <c r="S399" s="367">
        <f>(Table6[[#This Row],[Fault Clearance time]]-Table6[[#This Row],[Work Start TimeStamp]])*24</f>
        <v>0</v>
      </c>
      <c r="T399" s="368">
        <f>(Table6[[#This Row],[Fault Clearance time]]-Table6[[#This Row],[Fault Start TimeStamp]])*24</f>
        <v>23.983333333333334</v>
      </c>
      <c r="U399" s="364" t="s">
        <v>498</v>
      </c>
      <c r="V399" s="369" t="s">
        <v>473</v>
      </c>
      <c r="W399" s="354">
        <f>Table6[[#This Row],[Breakdown Time]]*(1/39)</f>
        <v>0.61495726495726499</v>
      </c>
      <c r="X399" s="352" t="s">
        <v>468</v>
      </c>
      <c r="Y399" s="370" t="s">
        <v>141</v>
      </c>
      <c r="Z399" s="121">
        <v>4867</v>
      </c>
      <c r="AA399" s="123">
        <v>4863.6201388888885</v>
      </c>
      <c r="AB399" s="121" t="s">
        <v>478</v>
      </c>
    </row>
    <row r="400" spans="1:28">
      <c r="A400" s="121">
        <f t="shared" si="6"/>
        <v>399</v>
      </c>
      <c r="B400" s="123">
        <f>YEAR(Table6[[#This Row],[Date]])+IF(MONTH(Table6[[#This Row],[Date]])&gt;=4,1,0)</f>
        <v>2026</v>
      </c>
      <c r="C400" s="121">
        <f>YEAR(Table6[[#This Row],[Date]])</f>
        <v>2025</v>
      </c>
      <c r="D400" s="121" t="s">
        <v>490</v>
      </c>
      <c r="E400" s="135">
        <f>Table6[[#This Row],[Date]]-DAY(Table6[[#This Row],[Date]])+1</f>
        <v>45748</v>
      </c>
      <c r="F400" s="134">
        <v>45774</v>
      </c>
      <c r="G400" s="121" t="s">
        <v>118</v>
      </c>
      <c r="H400" s="39" t="str">
        <f>_xlfn.XLOOKUP(Table6[[#This Row],[Affected WTG]],'Basic Data'!$A:$A,'Basic Data'!$B:$B)</f>
        <v>PWEGPL</v>
      </c>
      <c r="I400" s="39" t="str">
        <f>_xlfn.XLOOKUP(Table6[[#This Row],[Affected WTG]],'Basic Data'!$A:$A,'Basic Data'!$C:$C)</f>
        <v>MSEDCL</v>
      </c>
      <c r="J400" s="363">
        <f>IFERROR(VLOOKUP(Table6[[#This Row],[Affected WTG]],'Basic Data'!$A$3:$E$56,5,0),"")</f>
        <v>2.564102564102564E-2</v>
      </c>
      <c r="K400" s="121">
        <v>5201</v>
      </c>
      <c r="L400" s="39" t="str">
        <f>IFERROR(VLOOKUP(Table6[[#This Row],[Error Code]],'Basic Data'!$T:$U,2,0),"")</f>
        <v>Magnetothermic Trigger Of The Stator Protection</v>
      </c>
      <c r="M400" s="364" t="s">
        <v>462</v>
      </c>
      <c r="O400" s="365">
        <v>0.54027777777777775</v>
      </c>
      <c r="P400" s="365">
        <v>0.5625</v>
      </c>
      <c r="Q400" s="365">
        <v>0.56388888888888888</v>
      </c>
      <c r="R400" s="366">
        <f>IF(Table6[[#This Row],[Work Start TimeStamp]]="","",(Table6[[#This Row],[Work Start TimeStamp]]-Table6[[#This Row],[Fault Start TimeStamp]])*24)</f>
        <v>0.5333333333333341</v>
      </c>
      <c r="S400" s="367">
        <f>(Table6[[#This Row],[Fault Clearance time]]-Table6[[#This Row],[Work Start TimeStamp]])*24</f>
        <v>3.3333333333333215E-2</v>
      </c>
      <c r="T400" s="368">
        <f>(Table6[[#This Row],[Fault Clearance time]]-Table6[[#This Row],[Fault Start TimeStamp]])*24</f>
        <v>0.56666666666666732</v>
      </c>
      <c r="U400" s="364" t="s">
        <v>493</v>
      </c>
      <c r="V400" s="369" t="s">
        <v>463</v>
      </c>
      <c r="W400" s="354">
        <f>Table6[[#This Row],[Breakdown Time]]*(1/39)</f>
        <v>1.4529914529914546E-2</v>
      </c>
      <c r="X400" s="352" t="s">
        <v>465</v>
      </c>
      <c r="Y400" s="370" t="s">
        <v>117</v>
      </c>
      <c r="Z400" s="121">
        <v>5812</v>
      </c>
      <c r="AA400" s="123">
        <v>137.22777777777793</v>
      </c>
      <c r="AB400" s="121" t="s">
        <v>478</v>
      </c>
    </row>
    <row r="401" spans="1:28">
      <c r="A401" s="121">
        <f t="shared" si="6"/>
        <v>400</v>
      </c>
      <c r="B401" s="123">
        <f>YEAR(Table6[[#This Row],[Date]])+IF(MONTH(Table6[[#This Row],[Date]])&gt;=4,1,0)</f>
        <v>2026</v>
      </c>
      <c r="C401" s="121">
        <f>YEAR(Table6[[#This Row],[Date]])</f>
        <v>2025</v>
      </c>
      <c r="D401" s="121" t="s">
        <v>490</v>
      </c>
      <c r="E401" s="135">
        <f>Table6[[#This Row],[Date]]-DAY(Table6[[#This Row],[Date]])+1</f>
        <v>45748</v>
      </c>
      <c r="F401" s="134">
        <v>45774</v>
      </c>
      <c r="G401" s="121" t="s">
        <v>121</v>
      </c>
      <c r="H401" s="39" t="str">
        <f>_xlfn.XLOOKUP(Table6[[#This Row],[Affected WTG]],'Basic Data'!$A:$A,'Basic Data'!$B:$B)</f>
        <v>PWEGPL</v>
      </c>
      <c r="I401" s="39" t="str">
        <f>_xlfn.XLOOKUP(Table6[[#This Row],[Affected WTG]],'Basic Data'!$A:$A,'Basic Data'!$C:$C)</f>
        <v>MSEDCL</v>
      </c>
      <c r="J401" s="363">
        <f>IFERROR(VLOOKUP(Table6[[#This Row],[Affected WTG]],'Basic Data'!$A$3:$E$56,5,0),"")</f>
        <v>2.564102564102564E-2</v>
      </c>
      <c r="K401" s="121">
        <v>410</v>
      </c>
      <c r="L401" s="39" t="str">
        <f>IFERROR(VLOOKUP(Table6[[#This Row],[Error Code]],'Basic Data'!$T:$U,2,0),"")</f>
        <v>OGS</v>
      </c>
      <c r="M401" s="364" t="s">
        <v>462</v>
      </c>
      <c r="O401" s="365">
        <v>0.70138888888888884</v>
      </c>
      <c r="P401" s="365">
        <v>0.73333333333333328</v>
      </c>
      <c r="Q401" s="365">
        <v>0.73472222222222228</v>
      </c>
      <c r="R401" s="366">
        <f>IF(Table6[[#This Row],[Work Start TimeStamp]]="","",(Table6[[#This Row],[Work Start TimeStamp]]-Table6[[#This Row],[Fault Start TimeStamp]])*24)</f>
        <v>0.76666666666666661</v>
      </c>
      <c r="S401" s="367">
        <f>(Table6[[#This Row],[Fault Clearance time]]-Table6[[#This Row],[Work Start TimeStamp]])*24</f>
        <v>3.3333333333335879E-2</v>
      </c>
      <c r="T401" s="368">
        <f>(Table6[[#This Row],[Fault Clearance time]]-Table6[[#This Row],[Fault Start TimeStamp]])*24</f>
        <v>0.80000000000000249</v>
      </c>
      <c r="U401" s="364" t="s">
        <v>566</v>
      </c>
      <c r="V401" s="369" t="s">
        <v>463</v>
      </c>
      <c r="W401" s="354">
        <f>Table6[[#This Row],[Breakdown Time]]*(1/39)</f>
        <v>2.0512820512820575E-2</v>
      </c>
      <c r="X401" s="352" t="s">
        <v>465</v>
      </c>
      <c r="Y401" s="370" t="s">
        <v>115</v>
      </c>
      <c r="Z401" s="121">
        <v>5801</v>
      </c>
      <c r="AA401" s="123">
        <v>193.36666666666727</v>
      </c>
      <c r="AB401" s="121" t="s">
        <v>478</v>
      </c>
    </row>
    <row r="402" spans="1:28">
      <c r="A402" s="121">
        <f t="shared" si="6"/>
        <v>401</v>
      </c>
      <c r="B402" s="123">
        <f>YEAR(Table6[[#This Row],[Date]])+IF(MONTH(Table6[[#This Row],[Date]])&gt;=4,1,0)</f>
        <v>2026</v>
      </c>
      <c r="C402" s="121">
        <f>YEAR(Table6[[#This Row],[Date]])</f>
        <v>2025</v>
      </c>
      <c r="D402" s="121" t="s">
        <v>490</v>
      </c>
      <c r="E402" s="135">
        <f>Table6[[#This Row],[Date]]-DAY(Table6[[#This Row],[Date]])+1</f>
        <v>45748</v>
      </c>
      <c r="F402" s="134">
        <v>45774</v>
      </c>
      <c r="G402" s="121" t="s">
        <v>128</v>
      </c>
      <c r="H402" s="39" t="str">
        <f>_xlfn.XLOOKUP(Table6[[#This Row],[Affected WTG]],'Basic Data'!$A:$A,'Basic Data'!$B:$B)</f>
        <v>PWEGPL</v>
      </c>
      <c r="I402" s="39" t="str">
        <f>_xlfn.XLOOKUP(Table6[[#This Row],[Affected WTG]],'Basic Data'!$A:$A,'Basic Data'!$C:$C)</f>
        <v>MSEDCL</v>
      </c>
      <c r="J402" s="363">
        <f>IFERROR(VLOOKUP(Table6[[#This Row],[Affected WTG]],'Basic Data'!$A$3:$E$56,5,0),"")</f>
        <v>2.564102564102564E-2</v>
      </c>
      <c r="K402" s="121">
        <v>2118</v>
      </c>
      <c r="L402" s="39" t="str">
        <f>IFERROR(VLOOKUP(Table6[[#This Row],[Error Code]],'Basic Data'!$T:$U,2,0),"")</f>
        <v>Bus Error - Interbus Failure</v>
      </c>
      <c r="M402" s="364" t="s">
        <v>462</v>
      </c>
      <c r="O402" s="365">
        <v>0.64722222222222225</v>
      </c>
      <c r="P402" s="365">
        <v>0.67361111111111116</v>
      </c>
      <c r="Q402" s="365">
        <v>0.70972222222222225</v>
      </c>
      <c r="R402" s="366">
        <f>IF(Table6[[#This Row],[Work Start TimeStamp]]="","",(Table6[[#This Row],[Work Start TimeStamp]]-Table6[[#This Row],[Fault Start TimeStamp]])*24)</f>
        <v>0.63333333333333375</v>
      </c>
      <c r="S402" s="367">
        <f>(Table6[[#This Row],[Fault Clearance time]]-Table6[[#This Row],[Work Start TimeStamp]])*24</f>
        <v>0.86666666666666625</v>
      </c>
      <c r="T402" s="368">
        <f>(Table6[[#This Row],[Fault Clearance time]]-Table6[[#This Row],[Fault Start TimeStamp]])*24</f>
        <v>1.5</v>
      </c>
      <c r="U402" s="364" t="s">
        <v>489</v>
      </c>
      <c r="V402" s="369" t="s">
        <v>463</v>
      </c>
      <c r="W402" s="354">
        <f>Table6[[#This Row],[Breakdown Time]]*(1/39)</f>
        <v>3.8461538461538464E-2</v>
      </c>
      <c r="X402" s="352" t="s">
        <v>465</v>
      </c>
      <c r="Y402" s="370" t="s">
        <v>129</v>
      </c>
      <c r="Z402" s="121">
        <v>5642</v>
      </c>
      <c r="AA402" s="123">
        <v>352.625</v>
      </c>
      <c r="AB402" s="121" t="s">
        <v>478</v>
      </c>
    </row>
    <row r="403" spans="1:28">
      <c r="A403" s="121">
        <f t="shared" si="6"/>
        <v>402</v>
      </c>
      <c r="B403" s="123">
        <f>YEAR(Table6[[#This Row],[Date]])+IF(MONTH(Table6[[#This Row],[Date]])&gt;=4,1,0)</f>
        <v>2026</v>
      </c>
      <c r="C403" s="121">
        <f>YEAR(Table6[[#This Row],[Date]])</f>
        <v>2025</v>
      </c>
      <c r="D403" s="121" t="s">
        <v>490</v>
      </c>
      <c r="E403" s="135">
        <f>Table6[[#This Row],[Date]]-DAY(Table6[[#This Row],[Date]])+1</f>
        <v>45748</v>
      </c>
      <c r="F403" s="134">
        <v>45774</v>
      </c>
      <c r="G403" s="121" t="s">
        <v>140</v>
      </c>
      <c r="H403" s="39" t="str">
        <f>_xlfn.XLOOKUP(Table6[[#This Row],[Affected WTG]],'Basic Data'!$A:$A,'Basic Data'!$B:$B)</f>
        <v>PWEGPL</v>
      </c>
      <c r="I403" s="39" t="str">
        <f>_xlfn.XLOOKUP(Table6[[#This Row],[Affected WTG]],'Basic Data'!$A:$A,'Basic Data'!$C:$C)</f>
        <v>MSEDCL</v>
      </c>
      <c r="J403" s="363">
        <f>IFERROR(VLOOKUP(Table6[[#This Row],[Affected WTG]],'Basic Data'!$A$3:$E$56,5,0),"")</f>
        <v>2.564102564102564E-2</v>
      </c>
      <c r="K403" s="121" t="s">
        <v>476</v>
      </c>
      <c r="L403" s="39" t="str">
        <f>IFERROR(VLOOKUP(Table6[[#This Row],[Error Code]],'Basic Data'!$T:$U,2,0),"")</f>
        <v>Manual Stop - Preventive Maintenance Activity</v>
      </c>
      <c r="M403" s="364" t="s">
        <v>474</v>
      </c>
      <c r="O403" s="365">
        <v>0.46944444444444444</v>
      </c>
      <c r="P403" s="365">
        <v>0.46944444444444444</v>
      </c>
      <c r="Q403" s="365">
        <v>0.74305555555555558</v>
      </c>
      <c r="R403" s="366">
        <f>IF(Table6[[#This Row],[Work Start TimeStamp]]="","",(Table6[[#This Row],[Work Start TimeStamp]]-Table6[[#This Row],[Fault Start TimeStamp]])*24)</f>
        <v>0</v>
      </c>
      <c r="S403" s="367">
        <f>(Table6[[#This Row],[Fault Clearance time]]-Table6[[#This Row],[Work Start TimeStamp]])*24</f>
        <v>6.5666666666666673</v>
      </c>
      <c r="T403" s="368">
        <f>(Table6[[#This Row],[Fault Clearance time]]-Table6[[#This Row],[Fault Start TimeStamp]])*24</f>
        <v>6.5666666666666673</v>
      </c>
      <c r="U403" s="364" t="s">
        <v>567</v>
      </c>
      <c r="V403" s="369" t="s">
        <v>463</v>
      </c>
      <c r="W403" s="354">
        <f>Table6[[#This Row],[Breakdown Time]]*(1/39)</f>
        <v>0.16837606837606839</v>
      </c>
      <c r="X403" s="352" t="s">
        <v>467</v>
      </c>
      <c r="Y403" s="370" t="s">
        <v>138</v>
      </c>
      <c r="Z403" s="121">
        <v>4854</v>
      </c>
      <c r="AA403" s="123">
        <v>1328.1083333333336</v>
      </c>
      <c r="AB403" s="121" t="s">
        <v>478</v>
      </c>
    </row>
    <row r="404" spans="1:28">
      <c r="A404" s="121">
        <f t="shared" si="6"/>
        <v>403</v>
      </c>
      <c r="B404" s="123">
        <f>YEAR(Table6[[#This Row],[Date]])+IF(MONTH(Table6[[#This Row],[Date]])&gt;=4,1,0)</f>
        <v>2026</v>
      </c>
      <c r="C404" s="121">
        <f>YEAR(Table6[[#This Row],[Date]])</f>
        <v>2025</v>
      </c>
      <c r="D404" s="121" t="s">
        <v>490</v>
      </c>
      <c r="E404" s="135">
        <f>Table6[[#This Row],[Date]]-DAY(Table6[[#This Row],[Date]])+1</f>
        <v>45748</v>
      </c>
      <c r="F404" s="134">
        <v>45774</v>
      </c>
      <c r="G404" s="121" t="s">
        <v>149</v>
      </c>
      <c r="H404" s="39" t="str">
        <f>_xlfn.XLOOKUP(Table6[[#This Row],[Affected WTG]],'Basic Data'!$A:$A,'Basic Data'!$B:$B)</f>
        <v>PWEGPL</v>
      </c>
      <c r="I404" s="39" t="str">
        <f>_xlfn.XLOOKUP(Table6[[#This Row],[Affected WTG]],'Basic Data'!$A:$A,'Basic Data'!$C:$C)</f>
        <v>MSEDCL</v>
      </c>
      <c r="J404" s="363">
        <f>IFERROR(VLOOKUP(Table6[[#This Row],[Affected WTG]],'Basic Data'!$A$3:$E$56,5,0),"")</f>
        <v>2.564102564102564E-2</v>
      </c>
      <c r="K404" s="121">
        <v>5210</v>
      </c>
      <c r="L404" s="39" t="str">
        <f>IFERROR(VLOOKUP(Table6[[#This Row],[Error Code]],'Basic Data'!$T:$U,2,0),"")</f>
        <v>Failure Of The Contactor's Rotor Power</v>
      </c>
      <c r="M404" s="364" t="s">
        <v>462</v>
      </c>
      <c r="O404" s="365">
        <v>0.2986111111111111</v>
      </c>
      <c r="P404" s="365">
        <v>0.33750000000000002</v>
      </c>
      <c r="Q404" s="365">
        <v>0.33888888888888891</v>
      </c>
      <c r="R404" s="366">
        <f>IF(Table6[[#This Row],[Work Start TimeStamp]]="","",(Table6[[#This Row],[Work Start TimeStamp]]-Table6[[#This Row],[Fault Start TimeStamp]])*24)</f>
        <v>0.93333333333333401</v>
      </c>
      <c r="S404" s="367">
        <f>(Table6[[#This Row],[Fault Clearance time]]-Table6[[#This Row],[Work Start TimeStamp]])*24</f>
        <v>3.3333333333333215E-2</v>
      </c>
      <c r="T404" s="368">
        <f>(Table6[[#This Row],[Fault Clearance time]]-Table6[[#This Row],[Fault Start TimeStamp]])*24</f>
        <v>0.96666666666666723</v>
      </c>
      <c r="U404" s="364" t="s">
        <v>493</v>
      </c>
      <c r="V404" s="369" t="s">
        <v>463</v>
      </c>
      <c r="W404" s="354">
        <f>Table6[[#This Row],[Breakdown Time]]*(1/39)</f>
        <v>2.4786324786324799E-2</v>
      </c>
      <c r="X404" s="352" t="s">
        <v>465</v>
      </c>
      <c r="Y404" s="370" t="s">
        <v>148</v>
      </c>
      <c r="Z404" s="121">
        <v>4556</v>
      </c>
      <c r="AA404" s="123">
        <v>183.50555555555567</v>
      </c>
      <c r="AB404" s="121" t="s">
        <v>478</v>
      </c>
    </row>
    <row r="405" spans="1:28">
      <c r="A405" s="121">
        <f t="shared" si="6"/>
        <v>404</v>
      </c>
      <c r="B405" s="123">
        <f>YEAR(Table6[[#This Row],[Date]])+IF(MONTH(Table6[[#This Row],[Date]])&gt;=4,1,0)</f>
        <v>2026</v>
      </c>
      <c r="C405" s="121">
        <f>YEAR(Table6[[#This Row],[Date]])</f>
        <v>2025</v>
      </c>
      <c r="D405" s="121" t="s">
        <v>490</v>
      </c>
      <c r="E405" s="135">
        <f>Table6[[#This Row],[Date]]-DAY(Table6[[#This Row],[Date]])+1</f>
        <v>45748</v>
      </c>
      <c r="F405" s="134">
        <v>45774</v>
      </c>
      <c r="G405" s="121" t="s">
        <v>153</v>
      </c>
      <c r="H405" s="39" t="str">
        <f>_xlfn.XLOOKUP(Table6[[#This Row],[Affected WTG]],'Basic Data'!$A:$A,'Basic Data'!$B:$B)</f>
        <v>PWEGPL</v>
      </c>
      <c r="I405" s="39" t="str">
        <f>_xlfn.XLOOKUP(Table6[[#This Row],[Affected WTG]],'Basic Data'!$A:$A,'Basic Data'!$C:$C)</f>
        <v>MSEDCL</v>
      </c>
      <c r="J405" s="363">
        <f>IFERROR(VLOOKUP(Table6[[#This Row],[Affected WTG]],'Basic Data'!$A$3:$E$56,5,0),"")</f>
        <v>2.564102564102564E-2</v>
      </c>
      <c r="K405" s="121" t="s">
        <v>492</v>
      </c>
      <c r="L405" s="39" t="str">
        <f>IFERROR(VLOOKUP(Table6[[#This Row],[Error Code]],'Basic Data'!$T:$U,2,0),"")</f>
        <v>Manual Stop - Safety Related</v>
      </c>
      <c r="M405" s="364" t="s">
        <v>481</v>
      </c>
      <c r="O405" s="365">
        <v>0.4597222222222222</v>
      </c>
      <c r="P405" s="365">
        <v>0.4597222222222222</v>
      </c>
      <c r="Q405" s="365">
        <v>0.59722222222222221</v>
      </c>
      <c r="R405" s="366">
        <f>IF(Table6[[#This Row],[Work Start TimeStamp]]="","",(Table6[[#This Row],[Work Start TimeStamp]]-Table6[[#This Row],[Fault Start TimeStamp]])*24)</f>
        <v>0</v>
      </c>
      <c r="S405" s="367">
        <f>(Table6[[#This Row],[Fault Clearance time]]-Table6[[#This Row],[Work Start TimeStamp]])*24</f>
        <v>3.3000000000000003</v>
      </c>
      <c r="T405" s="368">
        <f>(Table6[[#This Row],[Fault Clearance time]]-Table6[[#This Row],[Fault Start TimeStamp]])*24</f>
        <v>3.3000000000000003</v>
      </c>
      <c r="U405" s="364" t="s">
        <v>508</v>
      </c>
      <c r="V405" s="369" t="s">
        <v>463</v>
      </c>
      <c r="W405" s="354">
        <f>Table6[[#This Row],[Breakdown Time]]*(1/39)</f>
        <v>8.461538461538462E-2</v>
      </c>
      <c r="X405" s="352" t="s">
        <v>468</v>
      </c>
      <c r="Y405" s="370" t="s">
        <v>152</v>
      </c>
      <c r="Z405" s="121">
        <v>4567</v>
      </c>
      <c r="AA405" s="123">
        <v>627.96249999999998</v>
      </c>
      <c r="AB405" s="121" t="s">
        <v>478</v>
      </c>
    </row>
    <row r="406" spans="1:28">
      <c r="A406" s="121">
        <f t="shared" si="6"/>
        <v>405</v>
      </c>
      <c r="B406" s="123">
        <f>YEAR(Table6[[#This Row],[Date]])+IF(MONTH(Table6[[#This Row],[Date]])&gt;=4,1,0)</f>
        <v>2026</v>
      </c>
      <c r="C406" s="121">
        <f>YEAR(Table6[[#This Row],[Date]])</f>
        <v>2025</v>
      </c>
      <c r="D406" s="121" t="s">
        <v>490</v>
      </c>
      <c r="E406" s="135">
        <f>Table6[[#This Row],[Date]]-DAY(Table6[[#This Row],[Date]])+1</f>
        <v>45748</v>
      </c>
      <c r="F406" s="134">
        <v>45774</v>
      </c>
      <c r="G406" s="121" t="s">
        <v>136</v>
      </c>
      <c r="H406" s="39" t="str">
        <f>_xlfn.XLOOKUP(Table6[[#This Row],[Affected WTG]],'Basic Data'!$A:$A,'Basic Data'!$B:$B)</f>
        <v>PWEGPL</v>
      </c>
      <c r="I406" s="39" t="str">
        <f>_xlfn.XLOOKUP(Table6[[#This Row],[Affected WTG]],'Basic Data'!$A:$A,'Basic Data'!$C:$C)</f>
        <v>MSEDCL</v>
      </c>
      <c r="J406" s="363">
        <f>IFERROR(VLOOKUP(Table6[[#This Row],[Affected WTG]],'Basic Data'!$A$3:$E$56,5,0),"")</f>
        <v>2.564102564102564E-2</v>
      </c>
      <c r="K406" s="121">
        <v>800</v>
      </c>
      <c r="L406" s="39" t="str">
        <f>IFERROR(VLOOKUP(Table6[[#This Row],[Error Code]],'Basic Data'!$T:$U,2,0),"")</f>
        <v>Pitch Drive Error</v>
      </c>
      <c r="M406" s="364" t="s">
        <v>462</v>
      </c>
      <c r="O406" s="365">
        <v>0.71180555555555558</v>
      </c>
      <c r="P406" s="365">
        <v>0.78125</v>
      </c>
      <c r="Q406" s="365">
        <v>0.78333333333333333</v>
      </c>
      <c r="R406" s="366">
        <f>IF(Table6[[#This Row],[Work Start TimeStamp]]="","",(Table6[[#This Row],[Work Start TimeStamp]]-Table6[[#This Row],[Fault Start TimeStamp]])*24)</f>
        <v>1.6666666666666661</v>
      </c>
      <c r="S406" s="367">
        <f>(Table6[[#This Row],[Fault Clearance time]]-Table6[[#This Row],[Work Start TimeStamp]])*24</f>
        <v>4.9999999999999822E-2</v>
      </c>
      <c r="T406" s="368">
        <f>(Table6[[#This Row],[Fault Clearance time]]-Table6[[#This Row],[Fault Start TimeStamp]])*24</f>
        <v>1.7166666666666659</v>
      </c>
      <c r="U406" s="364" t="s">
        <v>491</v>
      </c>
      <c r="V406" s="369" t="s">
        <v>463</v>
      </c>
      <c r="W406" s="354">
        <f>Table6[[#This Row],[Breakdown Time]]*(1/39)</f>
        <v>4.4017094017093993E-2</v>
      </c>
      <c r="X406" s="352" t="s">
        <v>465</v>
      </c>
      <c r="Y406" s="370" t="s">
        <v>135</v>
      </c>
      <c r="Z406" s="121">
        <v>4845</v>
      </c>
      <c r="AA406" s="123">
        <v>346.5520833333332</v>
      </c>
      <c r="AB406" s="121" t="s">
        <v>478</v>
      </c>
    </row>
    <row r="407" spans="1:28">
      <c r="A407" s="121">
        <f t="shared" si="6"/>
        <v>406</v>
      </c>
      <c r="B407" s="123">
        <f>YEAR(Table6[[#This Row],[Date]])+IF(MONTH(Table6[[#This Row],[Date]])&gt;=4,1,0)</f>
        <v>2026</v>
      </c>
      <c r="C407" s="121">
        <f>YEAR(Table6[[#This Row],[Date]])</f>
        <v>2025</v>
      </c>
      <c r="D407" s="121" t="s">
        <v>490</v>
      </c>
      <c r="E407" s="135">
        <f>Table6[[#This Row],[Date]]-DAY(Table6[[#This Row],[Date]])+1</f>
        <v>45748</v>
      </c>
      <c r="F407" s="134">
        <v>45775</v>
      </c>
      <c r="G407" s="121" t="s">
        <v>144</v>
      </c>
      <c r="H407" s="39" t="str">
        <f>_xlfn.XLOOKUP(Table6[[#This Row],[Affected WTG]],'Basic Data'!$A:$A,'Basic Data'!$B:$B)</f>
        <v>PWEGPL</v>
      </c>
      <c r="I407" s="39" t="str">
        <f>_xlfn.XLOOKUP(Table6[[#This Row],[Affected WTG]],'Basic Data'!$A:$A,'Basic Data'!$C:$C)</f>
        <v>MSEDCL</v>
      </c>
      <c r="J407" s="363">
        <f>IFERROR(VLOOKUP(Table6[[#This Row],[Affected WTG]],'Basic Data'!$A$3:$E$56,5,0),"")</f>
        <v>2.564102564102564E-2</v>
      </c>
      <c r="K407" s="121" t="s">
        <v>492</v>
      </c>
      <c r="L407" s="39" t="str">
        <f>IFERROR(VLOOKUP(Table6[[#This Row],[Error Code]],'Basic Data'!$T:$U,2,0),"")</f>
        <v>Manual Stop - Safety Related</v>
      </c>
      <c r="M407" s="364" t="s">
        <v>481</v>
      </c>
      <c r="O407" s="365">
        <v>0</v>
      </c>
      <c r="P407" s="365">
        <v>0.99930555555555556</v>
      </c>
      <c r="Q407" s="365">
        <v>0.99930555555555556</v>
      </c>
      <c r="R407" s="366">
        <f>IF(Table6[[#This Row],[Work Start TimeStamp]]="","",(Table6[[#This Row],[Work Start TimeStamp]]-Table6[[#This Row],[Fault Start TimeStamp]])*24)</f>
        <v>23.983333333333334</v>
      </c>
      <c r="S407" s="367">
        <f>(Table6[[#This Row],[Fault Clearance time]]-Table6[[#This Row],[Work Start TimeStamp]])*24</f>
        <v>0</v>
      </c>
      <c r="T407" s="368">
        <f>(Table6[[#This Row],[Fault Clearance time]]-Table6[[#This Row],[Fault Start TimeStamp]])*24</f>
        <v>23.983333333333334</v>
      </c>
      <c r="U407" s="364" t="s">
        <v>498</v>
      </c>
      <c r="V407" s="369" t="s">
        <v>473</v>
      </c>
      <c r="W407" s="354">
        <f>Table6[[#This Row],[Breakdown Time]]*(1/39)</f>
        <v>0.61495726495726499</v>
      </c>
      <c r="X407" s="352" t="s">
        <v>468</v>
      </c>
      <c r="Y407" s="370" t="s">
        <v>141</v>
      </c>
      <c r="Z407" s="121">
        <v>6654</v>
      </c>
      <c r="AA407" s="123">
        <v>6649.3791666666666</v>
      </c>
      <c r="AB407" s="121" t="s">
        <v>478</v>
      </c>
    </row>
    <row r="408" spans="1:28">
      <c r="A408" s="121">
        <f t="shared" si="6"/>
        <v>407</v>
      </c>
      <c r="B408" s="123">
        <f>YEAR(Table6[[#This Row],[Date]])+IF(MONTH(Table6[[#This Row],[Date]])&gt;=4,1,0)</f>
        <v>2026</v>
      </c>
      <c r="C408" s="121">
        <f>YEAR(Table6[[#This Row],[Date]])</f>
        <v>2025</v>
      </c>
      <c r="D408" s="121" t="s">
        <v>490</v>
      </c>
      <c r="E408" s="135">
        <f>Table6[[#This Row],[Date]]-DAY(Table6[[#This Row],[Date]])+1</f>
        <v>45748</v>
      </c>
      <c r="F408" s="134">
        <v>45775</v>
      </c>
      <c r="G408" s="121" t="s">
        <v>142</v>
      </c>
      <c r="H408" s="39" t="str">
        <f>_xlfn.XLOOKUP(Table6[[#This Row],[Affected WTG]],'Basic Data'!$A:$A,'Basic Data'!$B:$B)</f>
        <v>PWEGPL</v>
      </c>
      <c r="I408" s="39" t="str">
        <f>_xlfn.XLOOKUP(Table6[[#This Row],[Affected WTG]],'Basic Data'!$A:$A,'Basic Data'!$C:$C)</f>
        <v>MSEDCL</v>
      </c>
      <c r="J408" s="363">
        <f>IFERROR(VLOOKUP(Table6[[#This Row],[Affected WTG]],'Basic Data'!$A$3:$E$56,5,0),"")</f>
        <v>2.564102564102564E-2</v>
      </c>
      <c r="K408" s="121" t="s">
        <v>492</v>
      </c>
      <c r="L408" s="39" t="str">
        <f>IFERROR(VLOOKUP(Table6[[#This Row],[Error Code]],'Basic Data'!$T:$U,2,0),"")</f>
        <v>Manual Stop - Safety Related</v>
      </c>
      <c r="M408" s="364" t="s">
        <v>481</v>
      </c>
      <c r="O408" s="365">
        <v>0</v>
      </c>
      <c r="P408" s="365">
        <v>0.99930555555555556</v>
      </c>
      <c r="Q408" s="365">
        <v>0.99930555555555556</v>
      </c>
      <c r="R408" s="366">
        <f>IF(Table6[[#This Row],[Work Start TimeStamp]]="","",(Table6[[#This Row],[Work Start TimeStamp]]-Table6[[#This Row],[Fault Start TimeStamp]])*24)</f>
        <v>23.983333333333334</v>
      </c>
      <c r="S408" s="367">
        <f>(Table6[[#This Row],[Fault Clearance time]]-Table6[[#This Row],[Work Start TimeStamp]])*24</f>
        <v>0</v>
      </c>
      <c r="T408" s="368">
        <f>(Table6[[#This Row],[Fault Clearance time]]-Table6[[#This Row],[Fault Start TimeStamp]])*24</f>
        <v>23.983333333333334</v>
      </c>
      <c r="U408" s="364" t="s">
        <v>498</v>
      </c>
      <c r="V408" s="369" t="s">
        <v>473</v>
      </c>
      <c r="W408" s="354">
        <f>Table6[[#This Row],[Breakdown Time]]*(1/39)</f>
        <v>0.61495726495726499</v>
      </c>
      <c r="X408" s="352" t="s">
        <v>468</v>
      </c>
      <c r="Y408" s="370" t="s">
        <v>141</v>
      </c>
      <c r="Z408" s="121">
        <v>6654</v>
      </c>
      <c r="AA408" s="123">
        <v>6649.3791666666666</v>
      </c>
      <c r="AB408" s="121" t="s">
        <v>478</v>
      </c>
    </row>
    <row r="409" spans="1:28">
      <c r="A409" s="121">
        <f t="shared" si="6"/>
        <v>408</v>
      </c>
      <c r="B409" s="123">
        <f>YEAR(Table6[[#This Row],[Date]])+IF(MONTH(Table6[[#This Row],[Date]])&gt;=4,1,0)</f>
        <v>2026</v>
      </c>
      <c r="C409" s="121">
        <f>YEAR(Table6[[#This Row],[Date]])</f>
        <v>2025</v>
      </c>
      <c r="D409" s="121" t="s">
        <v>490</v>
      </c>
      <c r="E409" s="135">
        <f>Table6[[#This Row],[Date]]-DAY(Table6[[#This Row],[Date]])+1</f>
        <v>45748</v>
      </c>
      <c r="F409" s="134">
        <v>45775</v>
      </c>
      <c r="G409" s="121" t="s">
        <v>118</v>
      </c>
      <c r="H409" s="39" t="str">
        <f>_xlfn.XLOOKUP(Table6[[#This Row],[Affected WTG]],'Basic Data'!$A:$A,'Basic Data'!$B:$B)</f>
        <v>PWEGPL</v>
      </c>
      <c r="I409" s="39" t="str">
        <f>_xlfn.XLOOKUP(Table6[[#This Row],[Affected WTG]],'Basic Data'!$A:$A,'Basic Data'!$C:$C)</f>
        <v>MSEDCL</v>
      </c>
      <c r="J409" s="363">
        <f>IFERROR(VLOOKUP(Table6[[#This Row],[Affected WTG]],'Basic Data'!$A$3:$E$56,5,0),"")</f>
        <v>2.564102564102564E-2</v>
      </c>
      <c r="K409" s="121" t="s">
        <v>492</v>
      </c>
      <c r="L409" s="39" t="str">
        <f>IFERROR(VLOOKUP(Table6[[#This Row],[Error Code]],'Basic Data'!$T:$U,2,0),"")</f>
        <v>Manual Stop - Safety Related</v>
      </c>
      <c r="M409" s="364" t="s">
        <v>481</v>
      </c>
      <c r="O409" s="365">
        <v>0.4597222222222222</v>
      </c>
      <c r="P409" s="365">
        <v>0.4597222222222222</v>
      </c>
      <c r="Q409" s="365">
        <v>0.60069444444444442</v>
      </c>
      <c r="R409" s="366">
        <f>IF(Table6[[#This Row],[Work Start TimeStamp]]="","",(Table6[[#This Row],[Work Start TimeStamp]]-Table6[[#This Row],[Fault Start TimeStamp]])*24)</f>
        <v>0</v>
      </c>
      <c r="S409" s="367">
        <f>(Table6[[#This Row],[Fault Clearance time]]-Table6[[#This Row],[Work Start TimeStamp]])*24</f>
        <v>3.3833333333333333</v>
      </c>
      <c r="T409" s="368">
        <f>(Table6[[#This Row],[Fault Clearance time]]-Table6[[#This Row],[Fault Start TimeStamp]])*24</f>
        <v>3.3833333333333333</v>
      </c>
      <c r="U409" s="364" t="s">
        <v>508</v>
      </c>
      <c r="V409" s="369" t="s">
        <v>463</v>
      </c>
      <c r="W409" s="354">
        <f>Table6[[#This Row],[Breakdown Time]]*(1/39)</f>
        <v>8.6752136752136749E-2</v>
      </c>
      <c r="X409" s="352" t="s">
        <v>468</v>
      </c>
      <c r="Y409" s="370" t="s">
        <v>117</v>
      </c>
      <c r="Z409" s="121">
        <v>8051</v>
      </c>
      <c r="AA409" s="123">
        <v>1134.9673611111111</v>
      </c>
      <c r="AB409" s="121" t="s">
        <v>478</v>
      </c>
    </row>
    <row r="410" spans="1:28">
      <c r="A410" s="121">
        <f t="shared" si="6"/>
        <v>409</v>
      </c>
      <c r="B410" s="123">
        <f>YEAR(Table6[[#This Row],[Date]])+IF(MONTH(Table6[[#This Row],[Date]])&gt;=4,1,0)</f>
        <v>2026</v>
      </c>
      <c r="C410" s="121">
        <f>YEAR(Table6[[#This Row],[Date]])</f>
        <v>2025</v>
      </c>
      <c r="D410" s="121" t="s">
        <v>490</v>
      </c>
      <c r="E410" s="135">
        <f>Table6[[#This Row],[Date]]-DAY(Table6[[#This Row],[Date]])+1</f>
        <v>45748</v>
      </c>
      <c r="F410" s="134">
        <v>45775</v>
      </c>
      <c r="G410" s="121" t="s">
        <v>134</v>
      </c>
      <c r="H410" s="39" t="str">
        <f>_xlfn.XLOOKUP(Table6[[#This Row],[Affected WTG]],'Basic Data'!$A:$A,'Basic Data'!$B:$B)</f>
        <v>PWEGPL</v>
      </c>
      <c r="I410" s="39" t="str">
        <f>_xlfn.XLOOKUP(Table6[[#This Row],[Affected WTG]],'Basic Data'!$A:$A,'Basic Data'!$C:$C)</f>
        <v>MSEDCL</v>
      </c>
      <c r="J410" s="363">
        <f>IFERROR(VLOOKUP(Table6[[#This Row],[Affected WTG]],'Basic Data'!$A$3:$E$56,5,0),"")</f>
        <v>2.564102564102564E-2</v>
      </c>
      <c r="K410" s="121">
        <v>205</v>
      </c>
      <c r="L410" s="39" t="str">
        <f>IFERROR(VLOOKUP(Table6[[#This Row],[Error Code]],'Basic Data'!$T:$U,2,0),"")</f>
        <v>Low Level Hydraulic Group Refrigeration Oil</v>
      </c>
      <c r="M410" s="364" t="s">
        <v>462</v>
      </c>
      <c r="O410" s="365">
        <v>0.50277777777777777</v>
      </c>
      <c r="P410" s="365">
        <v>0.52638888888888891</v>
      </c>
      <c r="Q410" s="365">
        <v>0.65208333333333335</v>
      </c>
      <c r="R410" s="366">
        <f>IF(Table6[[#This Row],[Work Start TimeStamp]]="","",(Table6[[#This Row],[Work Start TimeStamp]]-Table6[[#This Row],[Fault Start TimeStamp]])*24)</f>
        <v>0.56666666666666732</v>
      </c>
      <c r="S410" s="367">
        <f>(Table6[[#This Row],[Fault Clearance time]]-Table6[[#This Row],[Work Start TimeStamp]])*24</f>
        <v>3.0166666666666666</v>
      </c>
      <c r="T410" s="368">
        <f>(Table6[[#This Row],[Fault Clearance time]]-Table6[[#This Row],[Fault Start TimeStamp]])*24</f>
        <v>3.5833333333333339</v>
      </c>
      <c r="U410" s="364" t="s">
        <v>568</v>
      </c>
      <c r="V410" s="369" t="s">
        <v>463</v>
      </c>
      <c r="W410" s="354">
        <f>Table6[[#This Row],[Breakdown Time]]*(1/39)</f>
        <v>9.1880341880341887E-2</v>
      </c>
      <c r="X410" s="352" t="s">
        <v>465</v>
      </c>
      <c r="Y410" s="370" t="s">
        <v>133</v>
      </c>
      <c r="Z410" s="121">
        <v>7853</v>
      </c>
      <c r="AA410" s="123">
        <v>1172.4965277777778</v>
      </c>
      <c r="AB410" s="121" t="s">
        <v>478</v>
      </c>
    </row>
    <row r="411" spans="1:28">
      <c r="A411" s="121">
        <f t="shared" si="6"/>
        <v>410</v>
      </c>
      <c r="B411" s="123">
        <f>YEAR(Table6[[#This Row],[Date]])+IF(MONTH(Table6[[#This Row],[Date]])&gt;=4,1,0)</f>
        <v>2026</v>
      </c>
      <c r="C411" s="121">
        <f>YEAR(Table6[[#This Row],[Date]])</f>
        <v>2025</v>
      </c>
      <c r="D411" s="121" t="s">
        <v>490</v>
      </c>
      <c r="E411" s="135">
        <f>Table6[[#This Row],[Date]]-DAY(Table6[[#This Row],[Date]])+1</f>
        <v>45748</v>
      </c>
      <c r="F411" s="134">
        <v>45775</v>
      </c>
      <c r="G411" s="121" t="s">
        <v>143</v>
      </c>
      <c r="H411" s="39" t="str">
        <f>_xlfn.XLOOKUP(Table6[[#This Row],[Affected WTG]],'Basic Data'!$A:$A,'Basic Data'!$B:$B)</f>
        <v>PWEGPL</v>
      </c>
      <c r="I411" s="39" t="str">
        <f>_xlfn.XLOOKUP(Table6[[#This Row],[Affected WTG]],'Basic Data'!$A:$A,'Basic Data'!$C:$C)</f>
        <v>MSEDCL</v>
      </c>
      <c r="J411" s="363">
        <f>IFERROR(VLOOKUP(Table6[[#This Row],[Affected WTG]],'Basic Data'!$A$3:$E$56,5,0),"")</f>
        <v>2.564102564102564E-2</v>
      </c>
      <c r="K411" s="121" t="s">
        <v>476</v>
      </c>
      <c r="L411" s="39" t="str">
        <f>IFERROR(VLOOKUP(Table6[[#This Row],[Error Code]],'Basic Data'!$T:$U,2,0),"")</f>
        <v>Manual Stop - Preventive Maintenance Activity</v>
      </c>
      <c r="M411" s="364" t="s">
        <v>474</v>
      </c>
      <c r="O411" s="365">
        <v>0.46875</v>
      </c>
      <c r="P411" s="365">
        <v>0.46875</v>
      </c>
      <c r="Q411" s="365">
        <v>0.71180555555555558</v>
      </c>
      <c r="R411" s="366">
        <f>IF(Table6[[#This Row],[Work Start TimeStamp]]="","",(Table6[[#This Row],[Work Start TimeStamp]]-Table6[[#This Row],[Fault Start TimeStamp]])*24)</f>
        <v>0</v>
      </c>
      <c r="S411" s="367">
        <f>(Table6[[#This Row],[Fault Clearance time]]-Table6[[#This Row],[Work Start TimeStamp]])*24</f>
        <v>5.8333333333333339</v>
      </c>
      <c r="T411" s="368">
        <f>(Table6[[#This Row],[Fault Clearance time]]-Table6[[#This Row],[Fault Start TimeStamp]])*24</f>
        <v>5.8333333333333339</v>
      </c>
      <c r="U411" s="364" t="s">
        <v>567</v>
      </c>
      <c r="V411" s="369" t="s">
        <v>463</v>
      </c>
      <c r="W411" s="354">
        <f>Table6[[#This Row],[Breakdown Time]]*(1/39)</f>
        <v>0.1495726495726496</v>
      </c>
      <c r="X411" s="352" t="s">
        <v>467</v>
      </c>
      <c r="Y411" s="370" t="s">
        <v>141</v>
      </c>
      <c r="Z411" s="121">
        <v>6654</v>
      </c>
      <c r="AA411" s="123">
        <v>1617.2916666666667</v>
      </c>
      <c r="AB411" s="121" t="s">
        <v>478</v>
      </c>
    </row>
    <row r="412" spans="1:28">
      <c r="A412" s="121">
        <f t="shared" si="6"/>
        <v>411</v>
      </c>
      <c r="B412" s="123">
        <f>YEAR(Table6[[#This Row],[Date]])+IF(MONTH(Table6[[#This Row],[Date]])&gt;=4,1,0)</f>
        <v>2026</v>
      </c>
      <c r="C412" s="121">
        <f>YEAR(Table6[[#This Row],[Date]])</f>
        <v>2025</v>
      </c>
      <c r="D412" s="121" t="s">
        <v>490</v>
      </c>
      <c r="E412" s="135">
        <f>Table6[[#This Row],[Date]]-DAY(Table6[[#This Row],[Date]])+1</f>
        <v>45748</v>
      </c>
      <c r="F412" s="134">
        <v>45775</v>
      </c>
      <c r="G412" s="121" t="s">
        <v>149</v>
      </c>
      <c r="H412" s="39" t="str">
        <f>_xlfn.XLOOKUP(Table6[[#This Row],[Affected WTG]],'Basic Data'!$A:$A,'Basic Data'!$B:$B)</f>
        <v>PWEGPL</v>
      </c>
      <c r="I412" s="39" t="str">
        <f>_xlfn.XLOOKUP(Table6[[#This Row],[Affected WTG]],'Basic Data'!$A:$A,'Basic Data'!$C:$C)</f>
        <v>MSEDCL</v>
      </c>
      <c r="J412" s="363">
        <f>IFERROR(VLOOKUP(Table6[[#This Row],[Affected WTG]],'Basic Data'!$A$3:$E$56,5,0),"")</f>
        <v>2.564102564102564E-2</v>
      </c>
      <c r="K412" s="121">
        <v>110</v>
      </c>
      <c r="L412" s="39" t="str">
        <f>IFERROR(VLOOKUP(Table6[[#This Row],[Error Code]],'Basic Data'!$T:$U,2,0),"")</f>
        <v>Yaw Sensor Wiring Error</v>
      </c>
      <c r="M412" s="364" t="s">
        <v>462</v>
      </c>
      <c r="O412" s="365">
        <v>0.62847222222222221</v>
      </c>
      <c r="P412" s="365">
        <v>0.65416666666666667</v>
      </c>
      <c r="Q412" s="365">
        <v>0.65486111111111112</v>
      </c>
      <c r="R412" s="366">
        <f>IF(Table6[[#This Row],[Work Start TimeStamp]]="","",(Table6[[#This Row],[Work Start TimeStamp]]-Table6[[#This Row],[Fault Start TimeStamp]])*24)</f>
        <v>0.61666666666666714</v>
      </c>
      <c r="S412" s="367">
        <f>(Table6[[#This Row],[Fault Clearance time]]-Table6[[#This Row],[Work Start TimeStamp]])*24</f>
        <v>1.6666666666666607E-2</v>
      </c>
      <c r="T412" s="368">
        <f>(Table6[[#This Row],[Fault Clearance time]]-Table6[[#This Row],[Fault Start TimeStamp]])*24</f>
        <v>0.63333333333333375</v>
      </c>
      <c r="U412" s="364" t="s">
        <v>493</v>
      </c>
      <c r="V412" s="369" t="s">
        <v>463</v>
      </c>
      <c r="W412" s="354">
        <f>Table6[[#This Row],[Breakdown Time]]*(1/39)</f>
        <v>1.6239316239316251E-2</v>
      </c>
      <c r="X412" s="352" t="s">
        <v>465</v>
      </c>
      <c r="Y412" s="370" t="s">
        <v>148</v>
      </c>
      <c r="Z412" s="121">
        <v>7062</v>
      </c>
      <c r="AA412" s="123">
        <v>186.35833333333346</v>
      </c>
      <c r="AB412" s="121" t="s">
        <v>478</v>
      </c>
    </row>
    <row r="413" spans="1:28">
      <c r="A413" s="121">
        <f t="shared" si="6"/>
        <v>412</v>
      </c>
      <c r="B413" s="123">
        <f>YEAR(Table6[[#This Row],[Date]])+IF(MONTH(Table6[[#This Row],[Date]])&gt;=4,1,0)</f>
        <v>2026</v>
      </c>
      <c r="C413" s="121">
        <f>YEAR(Table6[[#This Row],[Date]])</f>
        <v>2025</v>
      </c>
      <c r="D413" s="121" t="s">
        <v>490</v>
      </c>
      <c r="E413" s="135">
        <f>Table6[[#This Row],[Date]]-DAY(Table6[[#This Row],[Date]])+1</f>
        <v>45748</v>
      </c>
      <c r="F413" s="134">
        <v>45776</v>
      </c>
      <c r="G413" s="121" t="s">
        <v>144</v>
      </c>
      <c r="H413" s="39" t="str">
        <f>_xlfn.XLOOKUP(Table6[[#This Row],[Affected WTG]],'Basic Data'!$A:$A,'Basic Data'!$B:$B)</f>
        <v>PWEGPL</v>
      </c>
      <c r="I413" s="39" t="str">
        <f>_xlfn.XLOOKUP(Table6[[#This Row],[Affected WTG]],'Basic Data'!$A:$A,'Basic Data'!$C:$C)</f>
        <v>MSEDCL</v>
      </c>
      <c r="J413" s="363">
        <f>IFERROR(VLOOKUP(Table6[[#This Row],[Affected WTG]],'Basic Data'!$A$3:$E$56,5,0),"")</f>
        <v>2.564102564102564E-2</v>
      </c>
      <c r="K413" s="121" t="s">
        <v>492</v>
      </c>
      <c r="L413" s="39" t="str">
        <f>IFERROR(VLOOKUP(Table6[[#This Row],[Error Code]],'Basic Data'!$T:$U,2,0),"")</f>
        <v>Manual Stop - Safety Related</v>
      </c>
      <c r="M413" s="364" t="s">
        <v>481</v>
      </c>
      <c r="O413" s="365">
        <v>0</v>
      </c>
      <c r="P413" s="365">
        <v>0.99930555555555556</v>
      </c>
      <c r="Q413" s="365">
        <v>0.99930555555555556</v>
      </c>
      <c r="R413" s="366">
        <f>IF(Table6[[#This Row],[Work Start TimeStamp]]="","",(Table6[[#This Row],[Work Start TimeStamp]]-Table6[[#This Row],[Fault Start TimeStamp]])*24)</f>
        <v>23.983333333333334</v>
      </c>
      <c r="S413" s="367">
        <f>(Table6[[#This Row],[Fault Clearance time]]-Table6[[#This Row],[Work Start TimeStamp]])*24</f>
        <v>0</v>
      </c>
      <c r="T413" s="368">
        <f>(Table6[[#This Row],[Fault Clearance time]]-Table6[[#This Row],[Fault Start TimeStamp]])*24</f>
        <v>23.983333333333334</v>
      </c>
      <c r="U413" s="364" t="s">
        <v>498</v>
      </c>
      <c r="V413" s="369" t="s">
        <v>473</v>
      </c>
      <c r="W413" s="354">
        <f>Table6[[#This Row],[Breakdown Time]]*(1/39)</f>
        <v>0.61495726495726499</v>
      </c>
      <c r="X413" s="352" t="s">
        <v>468</v>
      </c>
      <c r="Y413" s="370" t="s">
        <v>141</v>
      </c>
      <c r="Z413" s="121">
        <v>5567</v>
      </c>
      <c r="AA413" s="123">
        <v>5563.1340277777781</v>
      </c>
      <c r="AB413" s="121" t="s">
        <v>478</v>
      </c>
    </row>
    <row r="414" spans="1:28">
      <c r="A414" s="121">
        <f t="shared" si="6"/>
        <v>413</v>
      </c>
      <c r="B414" s="123">
        <f>YEAR(Table6[[#This Row],[Date]])+IF(MONTH(Table6[[#This Row],[Date]])&gt;=4,1,0)</f>
        <v>2026</v>
      </c>
      <c r="C414" s="121">
        <f>YEAR(Table6[[#This Row],[Date]])</f>
        <v>2025</v>
      </c>
      <c r="D414" s="121" t="s">
        <v>490</v>
      </c>
      <c r="E414" s="135">
        <f>Table6[[#This Row],[Date]]-DAY(Table6[[#This Row],[Date]])+1</f>
        <v>45748</v>
      </c>
      <c r="F414" s="134">
        <v>45776</v>
      </c>
      <c r="G414" s="121" t="s">
        <v>142</v>
      </c>
      <c r="H414" s="39" t="str">
        <f>_xlfn.XLOOKUP(Table6[[#This Row],[Affected WTG]],'Basic Data'!$A:$A,'Basic Data'!$B:$B)</f>
        <v>PWEGPL</v>
      </c>
      <c r="I414" s="39" t="str">
        <f>_xlfn.XLOOKUP(Table6[[#This Row],[Affected WTG]],'Basic Data'!$A:$A,'Basic Data'!$C:$C)</f>
        <v>MSEDCL</v>
      </c>
      <c r="J414" s="363">
        <f>IFERROR(VLOOKUP(Table6[[#This Row],[Affected WTG]],'Basic Data'!$A$3:$E$56,5,0),"")</f>
        <v>2.564102564102564E-2</v>
      </c>
      <c r="K414" s="121" t="s">
        <v>492</v>
      </c>
      <c r="L414" s="39" t="str">
        <f>IFERROR(VLOOKUP(Table6[[#This Row],[Error Code]],'Basic Data'!$T:$U,2,0),"")</f>
        <v>Manual Stop - Safety Related</v>
      </c>
      <c r="M414" s="364" t="s">
        <v>481</v>
      </c>
      <c r="O414" s="365">
        <v>0</v>
      </c>
      <c r="P414" s="365">
        <v>0.99930555555555556</v>
      </c>
      <c r="Q414" s="365">
        <v>0.99930555555555556</v>
      </c>
      <c r="R414" s="366">
        <f>IF(Table6[[#This Row],[Work Start TimeStamp]]="","",(Table6[[#This Row],[Work Start TimeStamp]]-Table6[[#This Row],[Fault Start TimeStamp]])*24)</f>
        <v>23.983333333333334</v>
      </c>
      <c r="S414" s="367">
        <f>(Table6[[#This Row],[Fault Clearance time]]-Table6[[#This Row],[Work Start TimeStamp]])*24</f>
        <v>0</v>
      </c>
      <c r="T414" s="368">
        <f>(Table6[[#This Row],[Fault Clearance time]]-Table6[[#This Row],[Fault Start TimeStamp]])*24</f>
        <v>23.983333333333334</v>
      </c>
      <c r="U414" s="364" t="s">
        <v>498</v>
      </c>
      <c r="V414" s="369" t="s">
        <v>473</v>
      </c>
      <c r="W414" s="354">
        <f>Table6[[#This Row],[Breakdown Time]]*(1/39)</f>
        <v>0.61495726495726499</v>
      </c>
      <c r="X414" s="352" t="s">
        <v>468</v>
      </c>
      <c r="Y414" s="370" t="s">
        <v>141</v>
      </c>
      <c r="Z414" s="121">
        <v>5567</v>
      </c>
      <c r="AA414" s="123">
        <v>5563.1340277777781</v>
      </c>
      <c r="AB414" s="121" t="s">
        <v>478</v>
      </c>
    </row>
    <row r="415" spans="1:28">
      <c r="A415" s="121">
        <f t="shared" si="6"/>
        <v>414</v>
      </c>
      <c r="B415" s="123">
        <f>YEAR(Table6[[#This Row],[Date]])+IF(MONTH(Table6[[#This Row],[Date]])&gt;=4,1,0)</f>
        <v>2026</v>
      </c>
      <c r="C415" s="121">
        <f>YEAR(Table6[[#This Row],[Date]])</f>
        <v>2025</v>
      </c>
      <c r="D415" s="121" t="s">
        <v>490</v>
      </c>
      <c r="E415" s="135">
        <f>Table6[[#This Row],[Date]]-DAY(Table6[[#This Row],[Date]])+1</f>
        <v>45748</v>
      </c>
      <c r="F415" s="134">
        <v>45776</v>
      </c>
      <c r="G415" s="121" t="s">
        <v>121</v>
      </c>
      <c r="H415" s="39" t="str">
        <f>_xlfn.XLOOKUP(Table6[[#This Row],[Affected WTG]],'Basic Data'!$A:$A,'Basic Data'!$B:$B)</f>
        <v>PWEGPL</v>
      </c>
      <c r="I415" s="39" t="str">
        <f>_xlfn.XLOOKUP(Table6[[#This Row],[Affected WTG]],'Basic Data'!$A:$A,'Basic Data'!$C:$C)</f>
        <v>MSEDCL</v>
      </c>
      <c r="J415" s="363">
        <f>IFERROR(VLOOKUP(Table6[[#This Row],[Affected WTG]],'Basic Data'!$A$3:$E$56,5,0),"")</f>
        <v>2.564102564102564E-2</v>
      </c>
      <c r="K415" s="121">
        <v>410</v>
      </c>
      <c r="L415" s="39" t="str">
        <f>IFERROR(VLOOKUP(Table6[[#This Row],[Error Code]],'Basic Data'!$T:$U,2,0),"")</f>
        <v>OGS</v>
      </c>
      <c r="M415" s="364" t="s">
        <v>462</v>
      </c>
      <c r="O415" s="365">
        <v>0.63888888888888884</v>
      </c>
      <c r="P415" s="365">
        <v>0.67152777777777772</v>
      </c>
      <c r="Q415" s="365">
        <v>0.6875</v>
      </c>
      <c r="R415" s="366">
        <f>IF(Table6[[#This Row],[Work Start TimeStamp]]="","",(Table6[[#This Row],[Work Start TimeStamp]]-Table6[[#This Row],[Fault Start TimeStamp]])*24)</f>
        <v>0.78333333333333321</v>
      </c>
      <c r="S415" s="367">
        <f>(Table6[[#This Row],[Fault Clearance time]]-Table6[[#This Row],[Work Start TimeStamp]])*24</f>
        <v>0.38333333333333464</v>
      </c>
      <c r="T415" s="368">
        <f>(Table6[[#This Row],[Fault Clearance time]]-Table6[[#This Row],[Fault Start TimeStamp]])*24</f>
        <v>1.1666666666666679</v>
      </c>
      <c r="U415" s="364" t="s">
        <v>569</v>
      </c>
      <c r="V415" s="369" t="s">
        <v>463</v>
      </c>
      <c r="W415" s="354">
        <f>Table6[[#This Row],[Breakdown Time]]*(1/39)</f>
        <v>2.9914529914529944E-2</v>
      </c>
      <c r="X415" s="352" t="s">
        <v>465</v>
      </c>
      <c r="Y415" s="370" t="s">
        <v>115</v>
      </c>
      <c r="Z415" s="121">
        <v>6459</v>
      </c>
      <c r="AA415" s="123">
        <v>313.97916666666697</v>
      </c>
      <c r="AB415" s="121" t="s">
        <v>478</v>
      </c>
    </row>
    <row r="416" spans="1:28">
      <c r="A416" s="121">
        <f t="shared" si="6"/>
        <v>415</v>
      </c>
      <c r="B416" s="123">
        <f>YEAR(Table6[[#This Row],[Date]])+IF(MONTH(Table6[[#This Row],[Date]])&gt;=4,1,0)</f>
        <v>2026</v>
      </c>
      <c r="C416" s="121">
        <f>YEAR(Table6[[#This Row],[Date]])</f>
        <v>2025</v>
      </c>
      <c r="D416" s="121" t="s">
        <v>490</v>
      </c>
      <c r="E416" s="135">
        <f>Table6[[#This Row],[Date]]-DAY(Table6[[#This Row],[Date]])+1</f>
        <v>45748</v>
      </c>
      <c r="F416" s="134">
        <v>45776</v>
      </c>
      <c r="G416" s="121" t="s">
        <v>136</v>
      </c>
      <c r="H416" s="39" t="str">
        <f>_xlfn.XLOOKUP(Table6[[#This Row],[Affected WTG]],'Basic Data'!$A:$A,'Basic Data'!$B:$B)</f>
        <v>PWEGPL</v>
      </c>
      <c r="I416" s="39" t="str">
        <f>_xlfn.XLOOKUP(Table6[[#This Row],[Affected WTG]],'Basic Data'!$A:$A,'Basic Data'!$C:$C)</f>
        <v>MSEDCL</v>
      </c>
      <c r="J416" s="363">
        <f>IFERROR(VLOOKUP(Table6[[#This Row],[Affected WTG]],'Basic Data'!$A$3:$E$56,5,0),"")</f>
        <v>2.564102564102564E-2</v>
      </c>
      <c r="K416" s="121">
        <v>205</v>
      </c>
      <c r="L416" s="39" t="str">
        <f>IFERROR(VLOOKUP(Table6[[#This Row],[Error Code]],'Basic Data'!$T:$U,2,0),"")</f>
        <v>Low Level Hydraulic Group Refrigeration Oil</v>
      </c>
      <c r="M416" s="364" t="s">
        <v>462</v>
      </c>
      <c r="O416" s="365">
        <v>0.38194444444444442</v>
      </c>
      <c r="P416" s="365">
        <v>0.42499999999999999</v>
      </c>
      <c r="Q416" s="365">
        <v>0.71458333333333335</v>
      </c>
      <c r="R416" s="366">
        <f>IF(Table6[[#This Row],[Work Start TimeStamp]]="","",(Table6[[#This Row],[Work Start TimeStamp]]-Table6[[#This Row],[Fault Start TimeStamp]])*24)</f>
        <v>1.0333333333333337</v>
      </c>
      <c r="S416" s="367">
        <f>(Table6[[#This Row],[Fault Clearance time]]-Table6[[#This Row],[Work Start TimeStamp]])*24</f>
        <v>6.9500000000000011</v>
      </c>
      <c r="T416" s="368">
        <f>(Table6[[#This Row],[Fault Clearance time]]-Table6[[#This Row],[Fault Start TimeStamp]])*24</f>
        <v>7.9833333333333343</v>
      </c>
      <c r="U416" s="364" t="s">
        <v>570</v>
      </c>
      <c r="V416" s="369" t="s">
        <v>463</v>
      </c>
      <c r="W416" s="354">
        <f>Table6[[#This Row],[Breakdown Time]]*(1/39)</f>
        <v>0.20470085470085472</v>
      </c>
      <c r="X416" s="352" t="s">
        <v>465</v>
      </c>
      <c r="Y416" s="370" t="s">
        <v>119</v>
      </c>
      <c r="Z416" s="121">
        <v>6742</v>
      </c>
      <c r="AA416" s="123">
        <v>2242.6513888888894</v>
      </c>
      <c r="AB416" s="121" t="s">
        <v>478</v>
      </c>
    </row>
    <row r="417" spans="1:28">
      <c r="A417" s="121">
        <f t="shared" si="6"/>
        <v>416</v>
      </c>
      <c r="B417" s="123">
        <f>YEAR(Table6[[#This Row],[Date]])+IF(MONTH(Table6[[#This Row],[Date]])&gt;=4,1,0)</f>
        <v>2026</v>
      </c>
      <c r="C417" s="121">
        <f>YEAR(Table6[[#This Row],[Date]])</f>
        <v>2025</v>
      </c>
      <c r="D417" s="121" t="s">
        <v>490</v>
      </c>
      <c r="E417" s="135">
        <f>Table6[[#This Row],[Date]]-DAY(Table6[[#This Row],[Date]])+1</f>
        <v>45748</v>
      </c>
      <c r="F417" s="134">
        <v>45776</v>
      </c>
      <c r="G417" s="121" t="s">
        <v>141</v>
      </c>
      <c r="H417" s="39" t="str">
        <f>_xlfn.XLOOKUP(Table6[[#This Row],[Affected WTG]],'Basic Data'!$A:$A,'Basic Data'!$B:$B)</f>
        <v>PWEGPL</v>
      </c>
      <c r="I417" s="39" t="str">
        <f>_xlfn.XLOOKUP(Table6[[#This Row],[Affected WTG]],'Basic Data'!$A:$A,'Basic Data'!$C:$C)</f>
        <v>MSEDCL</v>
      </c>
      <c r="J417" s="363">
        <f>IFERROR(VLOOKUP(Table6[[#This Row],[Affected WTG]],'Basic Data'!$A$3:$E$56,5,0),"")</f>
        <v>2.564102564102564E-2</v>
      </c>
      <c r="K417" s="121" t="s">
        <v>476</v>
      </c>
      <c r="L417" s="39" t="str">
        <f>IFERROR(VLOOKUP(Table6[[#This Row],[Error Code]],'Basic Data'!$T:$U,2,0),"")</f>
        <v>Manual Stop - Preventive Maintenance Activity</v>
      </c>
      <c r="M417" s="364" t="s">
        <v>474</v>
      </c>
      <c r="O417" s="365">
        <v>0.34166666666666667</v>
      </c>
      <c r="P417" s="365">
        <v>0.34166666666666667</v>
      </c>
      <c r="Q417" s="365">
        <v>0.61458333333333337</v>
      </c>
      <c r="R417" s="366">
        <f>IF(Table6[[#This Row],[Work Start TimeStamp]]="","",(Table6[[#This Row],[Work Start TimeStamp]]-Table6[[#This Row],[Fault Start TimeStamp]])*24)</f>
        <v>0</v>
      </c>
      <c r="S417" s="367">
        <f>(Table6[[#This Row],[Fault Clearance time]]-Table6[[#This Row],[Work Start TimeStamp]])*24</f>
        <v>6.5500000000000007</v>
      </c>
      <c r="T417" s="368">
        <f>(Table6[[#This Row],[Fault Clearance time]]-Table6[[#This Row],[Fault Start TimeStamp]])*24</f>
        <v>6.5500000000000007</v>
      </c>
      <c r="U417" s="364" t="s">
        <v>567</v>
      </c>
      <c r="V417" s="369" t="s">
        <v>463</v>
      </c>
      <c r="W417" s="354">
        <f>Table6[[#This Row],[Breakdown Time]]*(1/39)</f>
        <v>0.16794871794871796</v>
      </c>
      <c r="X417" s="352" t="s">
        <v>467</v>
      </c>
      <c r="Y417" s="370" t="s">
        <v>143</v>
      </c>
      <c r="Z417" s="121">
        <v>6792</v>
      </c>
      <c r="AA417" s="123">
        <v>1853.65</v>
      </c>
      <c r="AB417" s="121" t="s">
        <v>478</v>
      </c>
    </row>
    <row r="418" spans="1:28">
      <c r="A418" s="121">
        <f t="shared" si="6"/>
        <v>417</v>
      </c>
      <c r="B418" s="123">
        <f>YEAR(Table6[[#This Row],[Date]])+IF(MONTH(Table6[[#This Row],[Date]])&gt;=4,1,0)</f>
        <v>2026</v>
      </c>
      <c r="C418" s="121">
        <f>YEAR(Table6[[#This Row],[Date]])</f>
        <v>2025</v>
      </c>
      <c r="D418" s="121" t="s">
        <v>490</v>
      </c>
      <c r="E418" s="135">
        <f>Table6[[#This Row],[Date]]-DAY(Table6[[#This Row],[Date]])+1</f>
        <v>45748</v>
      </c>
      <c r="F418" s="134">
        <v>45777</v>
      </c>
      <c r="G418" s="121" t="s">
        <v>144</v>
      </c>
      <c r="H418" s="39" t="str">
        <f>_xlfn.XLOOKUP(Table6[[#This Row],[Affected WTG]],'Basic Data'!$A:$A,'Basic Data'!$B:$B)</f>
        <v>PWEGPL</v>
      </c>
      <c r="I418" s="39" t="str">
        <f>_xlfn.XLOOKUP(Table6[[#This Row],[Affected WTG]],'Basic Data'!$A:$A,'Basic Data'!$C:$C)</f>
        <v>MSEDCL</v>
      </c>
      <c r="J418" s="363">
        <f>IFERROR(VLOOKUP(Table6[[#This Row],[Affected WTG]],'Basic Data'!$A$3:$E$56,5,0),"")</f>
        <v>2.564102564102564E-2</v>
      </c>
      <c r="K418" s="121" t="s">
        <v>492</v>
      </c>
      <c r="L418" s="39" t="str">
        <f>IFERROR(VLOOKUP(Table6[[#This Row],[Error Code]],'Basic Data'!$T:$U,2,0),"")</f>
        <v>Manual Stop - Safety Related</v>
      </c>
      <c r="M418" s="364" t="s">
        <v>481</v>
      </c>
      <c r="O418" s="365">
        <v>0</v>
      </c>
      <c r="P418" s="365">
        <v>0.99930555555555556</v>
      </c>
      <c r="Q418" s="365">
        <v>0.99930555555555556</v>
      </c>
      <c r="R418" s="366">
        <f>IF(Table6[[#This Row],[Work Start TimeStamp]]="","",(Table6[[#This Row],[Work Start TimeStamp]]-Table6[[#This Row],[Fault Start TimeStamp]])*24)</f>
        <v>23.983333333333334</v>
      </c>
      <c r="S418" s="367">
        <f>(Table6[[#This Row],[Fault Clearance time]]-Table6[[#This Row],[Work Start TimeStamp]])*24</f>
        <v>0</v>
      </c>
      <c r="T418" s="368">
        <f>(Table6[[#This Row],[Fault Clearance time]]-Table6[[#This Row],[Fault Start TimeStamp]])*24</f>
        <v>23.983333333333334</v>
      </c>
      <c r="U418" s="364" t="s">
        <v>498</v>
      </c>
      <c r="V418" s="369" t="s">
        <v>473</v>
      </c>
      <c r="W418" s="354">
        <f>Table6[[#This Row],[Breakdown Time]]*(1/39)</f>
        <v>0.61495726495726499</v>
      </c>
      <c r="X418" s="352" t="s">
        <v>468</v>
      </c>
      <c r="Y418" s="370" t="s">
        <v>141</v>
      </c>
      <c r="Z418" s="121">
        <v>12782</v>
      </c>
      <c r="AA418" s="123">
        <v>12773.123611111112</v>
      </c>
      <c r="AB418" s="121" t="s">
        <v>478</v>
      </c>
    </row>
    <row r="419" spans="1:28">
      <c r="A419" s="121">
        <f t="shared" si="6"/>
        <v>418</v>
      </c>
      <c r="B419" s="123">
        <f>YEAR(Table6[[#This Row],[Date]])+IF(MONTH(Table6[[#This Row],[Date]])&gt;=4,1,0)</f>
        <v>2026</v>
      </c>
      <c r="C419" s="121">
        <f>YEAR(Table6[[#This Row],[Date]])</f>
        <v>2025</v>
      </c>
      <c r="D419" s="121" t="s">
        <v>490</v>
      </c>
      <c r="E419" s="135">
        <f>Table6[[#This Row],[Date]]-DAY(Table6[[#This Row],[Date]])+1</f>
        <v>45748</v>
      </c>
      <c r="F419" s="134">
        <v>45777</v>
      </c>
      <c r="G419" s="121" t="s">
        <v>142</v>
      </c>
      <c r="H419" s="39" t="str">
        <f>_xlfn.XLOOKUP(Table6[[#This Row],[Affected WTG]],'Basic Data'!$A:$A,'Basic Data'!$B:$B)</f>
        <v>PWEGPL</v>
      </c>
      <c r="I419" s="39" t="str">
        <f>_xlfn.XLOOKUP(Table6[[#This Row],[Affected WTG]],'Basic Data'!$A:$A,'Basic Data'!$C:$C)</f>
        <v>MSEDCL</v>
      </c>
      <c r="J419" s="363">
        <f>IFERROR(VLOOKUP(Table6[[#This Row],[Affected WTG]],'Basic Data'!$A$3:$E$56,5,0),"")</f>
        <v>2.564102564102564E-2</v>
      </c>
      <c r="K419" s="121" t="s">
        <v>492</v>
      </c>
      <c r="L419" s="39" t="str">
        <f>IFERROR(VLOOKUP(Table6[[#This Row],[Error Code]],'Basic Data'!$T:$U,2,0),"")</f>
        <v>Manual Stop - Safety Related</v>
      </c>
      <c r="M419" s="364" t="s">
        <v>481</v>
      </c>
      <c r="O419" s="365">
        <v>0</v>
      </c>
      <c r="P419" s="365">
        <v>0.99930555555555556</v>
      </c>
      <c r="Q419" s="365">
        <v>0.99930555555555556</v>
      </c>
      <c r="R419" s="366">
        <f>IF(Table6[[#This Row],[Work Start TimeStamp]]="","",(Table6[[#This Row],[Work Start TimeStamp]]-Table6[[#This Row],[Fault Start TimeStamp]])*24)</f>
        <v>23.983333333333334</v>
      </c>
      <c r="S419" s="367">
        <f>(Table6[[#This Row],[Fault Clearance time]]-Table6[[#This Row],[Work Start TimeStamp]])*24</f>
        <v>0</v>
      </c>
      <c r="T419" s="368">
        <f>(Table6[[#This Row],[Fault Clearance time]]-Table6[[#This Row],[Fault Start TimeStamp]])*24</f>
        <v>23.983333333333334</v>
      </c>
      <c r="U419" s="364" t="s">
        <v>498</v>
      </c>
      <c r="V419" s="369" t="s">
        <v>473</v>
      </c>
      <c r="W419" s="354">
        <f>Table6[[#This Row],[Breakdown Time]]*(1/39)</f>
        <v>0.61495726495726499</v>
      </c>
      <c r="X419" s="352" t="s">
        <v>468</v>
      </c>
      <c r="Y419" s="370" t="s">
        <v>141</v>
      </c>
      <c r="Z419" s="121">
        <v>12782</v>
      </c>
      <c r="AA419" s="123">
        <v>12773.123611111112</v>
      </c>
      <c r="AB419" s="121" t="s">
        <v>478</v>
      </c>
    </row>
    <row r="420" spans="1:28">
      <c r="A420" s="121">
        <f t="shared" si="6"/>
        <v>419</v>
      </c>
      <c r="B420" s="123">
        <f>YEAR(Table6[[#This Row],[Date]])+IF(MONTH(Table6[[#This Row],[Date]])&gt;=4,1,0)</f>
        <v>2026</v>
      </c>
      <c r="C420" s="121">
        <f>YEAR(Table6[[#This Row],[Date]])</f>
        <v>2025</v>
      </c>
      <c r="D420" s="121" t="s">
        <v>490</v>
      </c>
      <c r="E420" s="135">
        <f>Table6[[#This Row],[Date]]-DAY(Table6[[#This Row],[Date]])+1</f>
        <v>45748</v>
      </c>
      <c r="F420" s="134">
        <v>45777</v>
      </c>
      <c r="G420" s="121" t="s">
        <v>118</v>
      </c>
      <c r="H420" s="39" t="str">
        <f>_xlfn.XLOOKUP(Table6[[#This Row],[Affected WTG]],'Basic Data'!$A:$A,'Basic Data'!$B:$B)</f>
        <v>PWEGPL</v>
      </c>
      <c r="I420" s="39" t="str">
        <f>_xlfn.XLOOKUP(Table6[[#This Row],[Affected WTG]],'Basic Data'!$A:$A,'Basic Data'!$C:$C)</f>
        <v>MSEDCL</v>
      </c>
      <c r="J420" s="363">
        <f>IFERROR(VLOOKUP(Table6[[#This Row],[Affected WTG]],'Basic Data'!$A$3:$E$56,5,0),"")</f>
        <v>2.564102564102564E-2</v>
      </c>
      <c r="K420" s="121">
        <v>203</v>
      </c>
      <c r="L420" s="39" t="str">
        <f>IFERROR(VLOOKUP(Table6[[#This Row],[Error Code]],'Basic Data'!$T:$U,2,0),"")</f>
        <v>Low Pressure On Hydraulic Group</v>
      </c>
      <c r="M420" s="364" t="s">
        <v>462</v>
      </c>
      <c r="O420" s="365">
        <v>0.26458333333333334</v>
      </c>
      <c r="P420" s="365">
        <v>0.33402777777777776</v>
      </c>
      <c r="Q420" s="365">
        <v>0.64722222222222225</v>
      </c>
      <c r="R420" s="366">
        <f>IF(Table6[[#This Row],[Work Start TimeStamp]]="","",(Table6[[#This Row],[Work Start TimeStamp]]-Table6[[#This Row],[Fault Start TimeStamp]])*24)</f>
        <v>1.6666666666666661</v>
      </c>
      <c r="S420" s="367">
        <f>(Table6[[#This Row],[Fault Clearance time]]-Table6[[#This Row],[Work Start TimeStamp]])*24</f>
        <v>7.5166666666666675</v>
      </c>
      <c r="T420" s="368">
        <f>(Table6[[#This Row],[Fault Clearance time]]-Table6[[#This Row],[Fault Start TimeStamp]])*24</f>
        <v>9.1833333333333336</v>
      </c>
      <c r="U420" s="364" t="s">
        <v>571</v>
      </c>
      <c r="V420" s="369" t="s">
        <v>463</v>
      </c>
      <c r="W420" s="354">
        <f>Table6[[#This Row],[Breakdown Time]]*(1/39)</f>
        <v>0.23547008547008547</v>
      </c>
      <c r="X420" s="352" t="s">
        <v>465</v>
      </c>
      <c r="Y420" s="370" t="s">
        <v>117</v>
      </c>
      <c r="Z420" s="121">
        <v>16042</v>
      </c>
      <c r="AA420" s="123">
        <v>6138.2930555555549</v>
      </c>
      <c r="AB420" s="121" t="s">
        <v>478</v>
      </c>
    </row>
    <row r="421" spans="1:28">
      <c r="A421" s="121">
        <f t="shared" si="6"/>
        <v>420</v>
      </c>
      <c r="B421" s="123">
        <f>YEAR(Table6[[#This Row],[Date]])+IF(MONTH(Table6[[#This Row],[Date]])&gt;=4,1,0)</f>
        <v>2026</v>
      </c>
      <c r="C421" s="121">
        <f>YEAR(Table6[[#This Row],[Date]])</f>
        <v>2025</v>
      </c>
      <c r="D421" s="121" t="s">
        <v>490</v>
      </c>
      <c r="E421" s="135">
        <f>Table6[[#This Row],[Date]]-DAY(Table6[[#This Row],[Date]])+1</f>
        <v>45748</v>
      </c>
      <c r="F421" s="134">
        <v>45777</v>
      </c>
      <c r="G421" s="121" t="s">
        <v>125</v>
      </c>
      <c r="H421" s="39" t="str">
        <f>_xlfn.XLOOKUP(Table6[[#This Row],[Affected WTG]],'Basic Data'!$A:$A,'Basic Data'!$B:$B)</f>
        <v>PWEGPL</v>
      </c>
      <c r="I421" s="39" t="str">
        <f>_xlfn.XLOOKUP(Table6[[#This Row],[Affected WTG]],'Basic Data'!$A:$A,'Basic Data'!$C:$C)</f>
        <v>MSEDCL</v>
      </c>
      <c r="J421" s="363">
        <f>IFERROR(VLOOKUP(Table6[[#This Row],[Affected WTG]],'Basic Data'!$A$3:$E$56,5,0),"")</f>
        <v>2.564102564102564E-2</v>
      </c>
      <c r="K421" s="121">
        <v>2118</v>
      </c>
      <c r="L421" s="39" t="str">
        <f>IFERROR(VLOOKUP(Table6[[#This Row],[Error Code]],'Basic Data'!$T:$U,2,0),"")</f>
        <v>Bus Error - Interbus Failure</v>
      </c>
      <c r="M421" s="364" t="s">
        <v>462</v>
      </c>
      <c r="O421" s="365">
        <v>0.29791666666666666</v>
      </c>
      <c r="P421" s="365">
        <v>0.34027777777777779</v>
      </c>
      <c r="Q421" s="365">
        <v>0.34166666666666667</v>
      </c>
      <c r="R421" s="366">
        <f>IF(Table6[[#This Row],[Work Start TimeStamp]]="","",(Table6[[#This Row],[Work Start TimeStamp]]-Table6[[#This Row],[Fault Start TimeStamp]])*24)</f>
        <v>1.0166666666666671</v>
      </c>
      <c r="S421" s="367">
        <f>(Table6[[#This Row],[Fault Clearance time]]-Table6[[#This Row],[Work Start TimeStamp]])*24</f>
        <v>3.3333333333333215E-2</v>
      </c>
      <c r="T421" s="368">
        <f>(Table6[[#This Row],[Fault Clearance time]]-Table6[[#This Row],[Fault Start TimeStamp]])*24</f>
        <v>1.0500000000000003</v>
      </c>
      <c r="U421" s="364" t="s">
        <v>491</v>
      </c>
      <c r="V421" s="369" t="s">
        <v>463</v>
      </c>
      <c r="W421" s="354">
        <f>Table6[[#This Row],[Breakdown Time]]*(1/39)</f>
        <v>2.6923076923076928E-2</v>
      </c>
      <c r="X421" s="352" t="s">
        <v>465</v>
      </c>
      <c r="Y421" s="370" t="s">
        <v>124</v>
      </c>
      <c r="Z421" s="121">
        <v>16079</v>
      </c>
      <c r="AA421" s="123">
        <v>703.45625000000018</v>
      </c>
      <c r="AB421" s="121" t="s">
        <v>478</v>
      </c>
    </row>
    <row r="422" spans="1:28">
      <c r="A422" s="121">
        <f t="shared" si="6"/>
        <v>421</v>
      </c>
      <c r="B422" s="123">
        <f>YEAR(Table6[[#This Row],[Date]])+IF(MONTH(Table6[[#This Row],[Date]])&gt;=4,1,0)</f>
        <v>2026</v>
      </c>
      <c r="C422" s="121">
        <f>YEAR(Table6[[#This Row],[Date]])</f>
        <v>2025</v>
      </c>
      <c r="D422" s="121" t="s">
        <v>490</v>
      </c>
      <c r="E422" s="135">
        <f>Table6[[#This Row],[Date]]-DAY(Table6[[#This Row],[Date]])+1</f>
        <v>45748</v>
      </c>
      <c r="F422" s="134">
        <v>45777</v>
      </c>
      <c r="G422" s="121" t="s">
        <v>136</v>
      </c>
      <c r="H422" s="39" t="str">
        <f>_xlfn.XLOOKUP(Table6[[#This Row],[Affected WTG]],'Basic Data'!$A:$A,'Basic Data'!$B:$B)</f>
        <v>PWEGPL</v>
      </c>
      <c r="I422" s="39" t="str">
        <f>_xlfn.XLOOKUP(Table6[[#This Row],[Affected WTG]],'Basic Data'!$A:$A,'Basic Data'!$C:$C)</f>
        <v>MSEDCL</v>
      </c>
      <c r="J422" s="363">
        <f>IFERROR(VLOOKUP(Table6[[#This Row],[Affected WTG]],'Basic Data'!$A$3:$E$56,5,0),"")</f>
        <v>2.564102564102564E-2</v>
      </c>
      <c r="K422" s="121">
        <v>2118</v>
      </c>
      <c r="L422" s="39" t="str">
        <f>IFERROR(VLOOKUP(Table6[[#This Row],[Error Code]],'Basic Data'!$T:$U,2,0),"")</f>
        <v>Bus Error - Interbus Failure</v>
      </c>
      <c r="M422" s="364" t="s">
        <v>462</v>
      </c>
      <c r="O422" s="365">
        <v>0.34722222222222221</v>
      </c>
      <c r="P422" s="365">
        <v>0.50486111111111109</v>
      </c>
      <c r="Q422" s="365">
        <v>0.50694444444444442</v>
      </c>
      <c r="R422" s="366">
        <f>IF(Table6[[#This Row],[Work Start TimeStamp]]="","",(Table6[[#This Row],[Work Start TimeStamp]]-Table6[[#This Row],[Fault Start TimeStamp]])*24)</f>
        <v>3.7833333333333332</v>
      </c>
      <c r="S422" s="367">
        <f>(Table6[[#This Row],[Fault Clearance time]]-Table6[[#This Row],[Work Start TimeStamp]])*24</f>
        <v>4.9999999999999822E-2</v>
      </c>
      <c r="T422" s="368">
        <f>(Table6[[#This Row],[Fault Clearance time]]-Table6[[#This Row],[Fault Start TimeStamp]])*24</f>
        <v>3.833333333333333</v>
      </c>
      <c r="U422" s="364" t="s">
        <v>491</v>
      </c>
      <c r="V422" s="369" t="s">
        <v>463</v>
      </c>
      <c r="W422" s="354">
        <f>Table6[[#This Row],[Breakdown Time]]*(1/39)</f>
        <v>9.8290598290598274E-2</v>
      </c>
      <c r="X422" s="352" t="s">
        <v>465</v>
      </c>
      <c r="Y422" s="370" t="s">
        <v>119</v>
      </c>
      <c r="Z422" s="121">
        <v>15425</v>
      </c>
      <c r="AA422" s="123">
        <v>2463.7152777777778</v>
      </c>
      <c r="AB422" s="121" t="s">
        <v>478</v>
      </c>
    </row>
    <row r="423" spans="1:28">
      <c r="A423" s="121">
        <f t="shared" si="6"/>
        <v>422</v>
      </c>
      <c r="B423" s="123">
        <f>YEAR(Table6[[#This Row],[Date]])+IF(MONTH(Table6[[#This Row],[Date]])&gt;=4,1,0)</f>
        <v>2026</v>
      </c>
      <c r="C423" s="121">
        <f>YEAR(Table6[[#This Row],[Date]])</f>
        <v>2025</v>
      </c>
      <c r="D423" s="121" t="s">
        <v>490</v>
      </c>
      <c r="E423" s="135">
        <f>Table6[[#This Row],[Date]]-DAY(Table6[[#This Row],[Date]])+1</f>
        <v>45748</v>
      </c>
      <c r="F423" s="134">
        <v>45777</v>
      </c>
      <c r="G423" s="121" t="s">
        <v>136</v>
      </c>
      <c r="H423" s="39" t="str">
        <f>_xlfn.XLOOKUP(Table6[[#This Row],[Affected WTG]],'Basic Data'!$A:$A,'Basic Data'!$B:$B)</f>
        <v>PWEGPL</v>
      </c>
      <c r="I423" s="39" t="str">
        <f>_xlfn.XLOOKUP(Table6[[#This Row],[Affected WTG]],'Basic Data'!$A:$A,'Basic Data'!$C:$C)</f>
        <v>MSEDCL</v>
      </c>
      <c r="J423" s="363">
        <f>IFERROR(VLOOKUP(Table6[[#This Row],[Affected WTG]],'Basic Data'!$A$3:$E$56,5,0),"")</f>
        <v>2.564102564102564E-2</v>
      </c>
      <c r="K423" s="121">
        <v>500</v>
      </c>
      <c r="L423" s="39" t="str">
        <f>IFERROR(VLOOKUP(Table6[[#This Row],[Error Code]],'Basic Data'!$T:$U,2,0),"")</f>
        <v>High Generator Winding Temperature</v>
      </c>
      <c r="M423" s="364" t="s">
        <v>462</v>
      </c>
      <c r="O423" s="365">
        <v>0.59027777777777779</v>
      </c>
      <c r="P423" s="365">
        <v>0.60763888888888884</v>
      </c>
      <c r="Q423" s="365">
        <v>0.63958333333333328</v>
      </c>
      <c r="R423" s="366">
        <f>IF(Table6[[#This Row],[Work Start TimeStamp]]="","",(Table6[[#This Row],[Work Start TimeStamp]]-Table6[[#This Row],[Fault Start TimeStamp]])*24)</f>
        <v>0.41666666666666519</v>
      </c>
      <c r="S423" s="367">
        <f>(Table6[[#This Row],[Fault Clearance time]]-Table6[[#This Row],[Work Start TimeStamp]])*24</f>
        <v>0.76666666666666661</v>
      </c>
      <c r="T423" s="368">
        <f>(Table6[[#This Row],[Fault Clearance time]]-Table6[[#This Row],[Fault Start TimeStamp]])*24</f>
        <v>1.1833333333333318</v>
      </c>
      <c r="U423" s="364" t="s">
        <v>572</v>
      </c>
      <c r="V423" s="369" t="s">
        <v>463</v>
      </c>
      <c r="W423" s="354">
        <f>Table6[[#This Row],[Breakdown Time]]*(1/39)</f>
        <v>3.03418803418803E-2</v>
      </c>
      <c r="X423" s="352" t="s">
        <v>465</v>
      </c>
      <c r="Y423" s="370" t="s">
        <v>119</v>
      </c>
      <c r="Z423" s="121">
        <v>15425</v>
      </c>
      <c r="AA423" s="123">
        <v>760.53819444444355</v>
      </c>
      <c r="AB423" s="121" t="s">
        <v>478</v>
      </c>
    </row>
    <row r="424" spans="1:28">
      <c r="A424" s="121">
        <f t="shared" si="6"/>
        <v>423</v>
      </c>
      <c r="B424" s="123">
        <f>YEAR(Table6[[#This Row],[Date]])+IF(MONTH(Table6[[#This Row],[Date]])&gt;=4,1,0)</f>
        <v>2026</v>
      </c>
      <c r="C424" s="121">
        <f>YEAR(Table6[[#This Row],[Date]])</f>
        <v>2025</v>
      </c>
      <c r="D424" s="121" t="s">
        <v>490</v>
      </c>
      <c r="E424" s="135">
        <f>Table6[[#This Row],[Date]]-DAY(Table6[[#This Row],[Date]])+1</f>
        <v>45748</v>
      </c>
      <c r="F424" s="134">
        <v>45777</v>
      </c>
      <c r="G424" s="121" t="s">
        <v>137</v>
      </c>
      <c r="H424" s="39" t="str">
        <f>_xlfn.XLOOKUP(Table6[[#This Row],[Affected WTG]],'Basic Data'!$A:$A,'Basic Data'!$B:$B)</f>
        <v>PWEGPL</v>
      </c>
      <c r="I424" s="39" t="str">
        <f>_xlfn.XLOOKUP(Table6[[#This Row],[Affected WTG]],'Basic Data'!$A:$A,'Basic Data'!$C:$C)</f>
        <v>MSEDCL</v>
      </c>
      <c r="J424" s="363">
        <f>IFERROR(VLOOKUP(Table6[[#This Row],[Affected WTG]],'Basic Data'!$A$3:$E$56,5,0),"")</f>
        <v>2.564102564102564E-2</v>
      </c>
      <c r="K424" s="121">
        <v>2118</v>
      </c>
      <c r="L424" s="39" t="str">
        <f>IFERROR(VLOOKUP(Table6[[#This Row],[Error Code]],'Basic Data'!$T:$U,2,0),"")</f>
        <v>Bus Error - Interbus Failure</v>
      </c>
      <c r="M424" s="364" t="s">
        <v>462</v>
      </c>
      <c r="O424" s="365">
        <v>0.58819444444444446</v>
      </c>
      <c r="P424" s="365">
        <v>0.65625</v>
      </c>
      <c r="Q424" s="365">
        <v>0.65763888888888888</v>
      </c>
      <c r="R424" s="366">
        <f>IF(Table6[[#This Row],[Work Start TimeStamp]]="","",(Table6[[#This Row],[Work Start TimeStamp]]-Table6[[#This Row],[Fault Start TimeStamp]])*24)</f>
        <v>1.6333333333333329</v>
      </c>
      <c r="S424" s="367">
        <f>(Table6[[#This Row],[Fault Clearance time]]-Table6[[#This Row],[Work Start TimeStamp]])*24</f>
        <v>3.3333333333333215E-2</v>
      </c>
      <c r="T424" s="368">
        <f>(Table6[[#This Row],[Fault Clearance time]]-Table6[[#This Row],[Fault Start TimeStamp]])*24</f>
        <v>1.6666666666666661</v>
      </c>
      <c r="U424" s="364" t="s">
        <v>491</v>
      </c>
      <c r="V424" s="369" t="s">
        <v>463</v>
      </c>
      <c r="W424" s="354">
        <f>Table6[[#This Row],[Breakdown Time]]*(1/39)</f>
        <v>4.2735042735042715E-2</v>
      </c>
      <c r="X424" s="352" t="s">
        <v>465</v>
      </c>
      <c r="Y424" s="370" t="s">
        <v>119</v>
      </c>
      <c r="Z424" s="121">
        <v>15425</v>
      </c>
      <c r="AA424" s="123">
        <v>1071.1805555555552</v>
      </c>
      <c r="AB424" s="121" t="s">
        <v>478</v>
      </c>
    </row>
    <row r="425" spans="1:28">
      <c r="A425" s="121">
        <f t="shared" si="6"/>
        <v>424</v>
      </c>
      <c r="B425" s="123">
        <f>YEAR(Table6[[#This Row],[Date]])+IF(MONTH(Table6[[#This Row],[Date]])&gt;=4,1,0)</f>
        <v>2026</v>
      </c>
      <c r="C425" s="121">
        <f>YEAR(Table6[[#This Row],[Date]])</f>
        <v>2025</v>
      </c>
      <c r="D425" s="121" t="s">
        <v>490</v>
      </c>
      <c r="E425" s="135">
        <f>Table6[[#This Row],[Date]]-DAY(Table6[[#This Row],[Date]])+1</f>
        <v>45748</v>
      </c>
      <c r="F425" s="134">
        <v>45777</v>
      </c>
      <c r="G425" s="121" t="s">
        <v>141</v>
      </c>
      <c r="H425" s="39" t="str">
        <f>_xlfn.XLOOKUP(Table6[[#This Row],[Affected WTG]],'Basic Data'!$A:$A,'Basic Data'!$B:$B)</f>
        <v>PWEGPL</v>
      </c>
      <c r="I425" s="39" t="str">
        <f>_xlfn.XLOOKUP(Table6[[#This Row],[Affected WTG]],'Basic Data'!$A:$A,'Basic Data'!$C:$C)</f>
        <v>MSEDCL</v>
      </c>
      <c r="J425" s="363">
        <f>IFERROR(VLOOKUP(Table6[[#This Row],[Affected WTG]],'Basic Data'!$A$3:$E$56,5,0),"")</f>
        <v>2.564102564102564E-2</v>
      </c>
      <c r="K425" s="121">
        <v>5212</v>
      </c>
      <c r="L425" s="39" t="str">
        <f>IFERROR(VLOOKUP(Table6[[#This Row],[Error Code]],'Basic Data'!$T:$U,2,0),"")</f>
        <v>Bus Preload Protection Thermal Relay Failure</v>
      </c>
      <c r="M425" s="364" t="s">
        <v>462</v>
      </c>
      <c r="O425" s="365">
        <v>0.27777777777777779</v>
      </c>
      <c r="P425" s="365">
        <v>0.42499999999999999</v>
      </c>
      <c r="Q425" s="365">
        <v>0.52222222222222225</v>
      </c>
      <c r="R425" s="366">
        <f>IF(Table6[[#This Row],[Work Start TimeStamp]]="","",(Table6[[#This Row],[Work Start TimeStamp]]-Table6[[#This Row],[Fault Start TimeStamp]])*24)</f>
        <v>3.5333333333333328</v>
      </c>
      <c r="S425" s="367">
        <f>(Table6[[#This Row],[Fault Clearance time]]-Table6[[#This Row],[Work Start TimeStamp]])*24</f>
        <v>2.3333333333333344</v>
      </c>
      <c r="T425" s="368">
        <f>(Table6[[#This Row],[Fault Clearance time]]-Table6[[#This Row],[Fault Start TimeStamp]])*24</f>
        <v>5.8666666666666671</v>
      </c>
      <c r="U425" s="364" t="s">
        <v>573</v>
      </c>
      <c r="V425" s="369" t="s">
        <v>463</v>
      </c>
      <c r="W425" s="354">
        <f>Table6[[#This Row],[Breakdown Time]]*(1/39)</f>
        <v>0.15042735042735045</v>
      </c>
      <c r="X425" s="352" t="s">
        <v>465</v>
      </c>
      <c r="Y425" s="370" t="s">
        <v>143</v>
      </c>
      <c r="Z425" s="121">
        <v>15469</v>
      </c>
      <c r="AA425" s="123">
        <v>3781.3111111111111</v>
      </c>
      <c r="AB425" s="121" t="s">
        <v>478</v>
      </c>
    </row>
    <row r="426" spans="1:28">
      <c r="A426" s="121">
        <f t="shared" si="6"/>
        <v>425</v>
      </c>
      <c r="B426" s="123">
        <f>YEAR(Table6[[#This Row],[Date]])+IF(MONTH(Table6[[#This Row],[Date]])&gt;=4,1,0)</f>
        <v>2026</v>
      </c>
      <c r="C426" s="121">
        <f>YEAR(Table6[[#This Row],[Date]])</f>
        <v>2025</v>
      </c>
      <c r="D426" s="121" t="s">
        <v>490</v>
      </c>
      <c r="E426" s="135">
        <f>Table6[[#This Row],[Date]]-DAY(Table6[[#This Row],[Date]])+1</f>
        <v>45748</v>
      </c>
      <c r="F426" s="134">
        <v>45777</v>
      </c>
      <c r="G426" s="121" t="s">
        <v>147</v>
      </c>
      <c r="H426" s="39" t="str">
        <f>_xlfn.XLOOKUP(Table6[[#This Row],[Affected WTG]],'Basic Data'!$A:$A,'Basic Data'!$B:$B)</f>
        <v>PWEGPL</v>
      </c>
      <c r="I426" s="39" t="str">
        <f>_xlfn.XLOOKUP(Table6[[#This Row],[Affected WTG]],'Basic Data'!$A:$A,'Basic Data'!$C:$C)</f>
        <v>MSEDCL</v>
      </c>
      <c r="J426" s="363">
        <f>IFERROR(VLOOKUP(Table6[[#This Row],[Affected WTG]],'Basic Data'!$A$3:$E$56,5,0),"")</f>
        <v>2.564102564102564E-2</v>
      </c>
      <c r="K426" s="121" t="s">
        <v>476</v>
      </c>
      <c r="L426" s="39" t="str">
        <f>IFERROR(VLOOKUP(Table6[[#This Row],[Error Code]],'Basic Data'!$T:$U,2,0),"")</f>
        <v>Manual Stop - Preventive Maintenance Activity</v>
      </c>
      <c r="M426" s="364" t="s">
        <v>474</v>
      </c>
      <c r="O426" s="365">
        <v>0.52777777777777779</v>
      </c>
      <c r="P426" s="365">
        <v>0.52777777777777779</v>
      </c>
      <c r="Q426" s="365">
        <v>0.77083333333333337</v>
      </c>
      <c r="R426" s="366">
        <f>IF(Table6[[#This Row],[Work Start TimeStamp]]="","",(Table6[[#This Row],[Work Start TimeStamp]]-Table6[[#This Row],[Fault Start TimeStamp]])*24)</f>
        <v>0</v>
      </c>
      <c r="S426" s="367">
        <f>(Table6[[#This Row],[Fault Clearance time]]-Table6[[#This Row],[Work Start TimeStamp]])*24</f>
        <v>5.8333333333333339</v>
      </c>
      <c r="T426" s="368">
        <f>(Table6[[#This Row],[Fault Clearance time]]-Table6[[#This Row],[Fault Start TimeStamp]])*24</f>
        <v>5.8333333333333339</v>
      </c>
      <c r="U426" s="364" t="s">
        <v>567</v>
      </c>
      <c r="V426" s="369" t="s">
        <v>463</v>
      </c>
      <c r="W426" s="354">
        <f>Table6[[#This Row],[Breakdown Time]]*(1/39)</f>
        <v>0.1495726495726496</v>
      </c>
      <c r="X426" s="352" t="s">
        <v>467</v>
      </c>
      <c r="Y426" s="370" t="s">
        <v>146</v>
      </c>
      <c r="Z426" s="121">
        <v>15954</v>
      </c>
      <c r="AA426" s="123">
        <v>3877.7083333333339</v>
      </c>
      <c r="AB426" s="121" t="s">
        <v>478</v>
      </c>
    </row>
    <row r="427" spans="1:28">
      <c r="A427" s="121">
        <f t="shared" si="6"/>
        <v>426</v>
      </c>
      <c r="B427" s="123">
        <f>YEAR(Table6[[#This Row],[Date]])+IF(MONTH(Table6[[#This Row],[Date]])&gt;=4,1,0)</f>
        <v>2026</v>
      </c>
      <c r="C427" s="121">
        <f>YEAR(Table6[[#This Row],[Date]])</f>
        <v>2025</v>
      </c>
      <c r="D427" s="121" t="s">
        <v>490</v>
      </c>
      <c r="E427" s="135">
        <f>Table6[[#This Row],[Date]]-DAY(Table6[[#This Row],[Date]])+1</f>
        <v>45778</v>
      </c>
      <c r="F427" s="134">
        <v>45778</v>
      </c>
      <c r="G427" s="121" t="s">
        <v>144</v>
      </c>
      <c r="H427" s="39" t="str">
        <f>_xlfn.XLOOKUP(Table6[[#This Row],[Affected WTG]],'Basic Data'!$A:$A,'Basic Data'!$B:$B)</f>
        <v>PWEGPL</v>
      </c>
      <c r="I427" s="39" t="str">
        <f>_xlfn.XLOOKUP(Table6[[#This Row],[Affected WTG]],'Basic Data'!$A:$A,'Basic Data'!$C:$C)</f>
        <v>MSEDCL</v>
      </c>
      <c r="J427" s="363">
        <f>IFERROR(VLOOKUP(Table6[[#This Row],[Affected WTG]],'Basic Data'!$A$3:$E$56,5,0),"")</f>
        <v>2.564102564102564E-2</v>
      </c>
      <c r="K427" s="121" t="s">
        <v>492</v>
      </c>
      <c r="L427" s="39" t="str">
        <f>IFERROR(VLOOKUP(Table6[[#This Row],[Error Code]],'Basic Data'!$T:$U,2,0),"")</f>
        <v>Manual Stop - Safety Related</v>
      </c>
      <c r="M427" s="364" t="s">
        <v>481</v>
      </c>
      <c r="O427" s="365">
        <v>0</v>
      </c>
      <c r="P427" s="365">
        <v>0.99930555555555556</v>
      </c>
      <c r="Q427" s="365">
        <v>0.99930555555555556</v>
      </c>
      <c r="R427" s="366">
        <f>IF(Table6[[#This Row],[Work Start TimeStamp]]="","",(Table6[[#This Row],[Work Start TimeStamp]]-Table6[[#This Row],[Fault Start TimeStamp]])*24)</f>
        <v>23.983333333333334</v>
      </c>
      <c r="S427" s="367">
        <f>(Table6[[#This Row],[Fault Clearance time]]-Table6[[#This Row],[Work Start TimeStamp]])*24</f>
        <v>0</v>
      </c>
      <c r="T427" s="368">
        <f>(Table6[[#This Row],[Fault Clearance time]]-Table6[[#This Row],[Fault Start TimeStamp]])*24</f>
        <v>23.983333333333334</v>
      </c>
      <c r="U427" s="364" t="s">
        <v>498</v>
      </c>
      <c r="V427" s="369" t="s">
        <v>473</v>
      </c>
      <c r="W427" s="354">
        <f>Table6[[#This Row],[Breakdown Time]]*(1/39)</f>
        <v>0.61495726495726499</v>
      </c>
      <c r="X427" s="352" t="s">
        <v>468</v>
      </c>
      <c r="Y427" s="370" t="s">
        <v>141</v>
      </c>
      <c r="Z427" s="121">
        <v>15526</v>
      </c>
      <c r="AA427" s="123">
        <v>15515.218055555555</v>
      </c>
      <c r="AB427" s="121" t="s">
        <v>478</v>
      </c>
    </row>
    <row r="428" spans="1:28">
      <c r="A428" s="121">
        <f t="shared" si="6"/>
        <v>427</v>
      </c>
      <c r="B428" s="123">
        <f>YEAR(Table6[[#This Row],[Date]])+IF(MONTH(Table6[[#This Row],[Date]])&gt;=4,1,0)</f>
        <v>2026</v>
      </c>
      <c r="C428" s="121">
        <f>YEAR(Table6[[#This Row],[Date]])</f>
        <v>2025</v>
      </c>
      <c r="D428" s="121" t="s">
        <v>490</v>
      </c>
      <c r="E428" s="135">
        <f>Table6[[#This Row],[Date]]-DAY(Table6[[#This Row],[Date]])+1</f>
        <v>45778</v>
      </c>
      <c r="F428" s="134">
        <v>45778</v>
      </c>
      <c r="G428" s="121" t="s">
        <v>142</v>
      </c>
      <c r="H428" s="39" t="str">
        <f>_xlfn.XLOOKUP(Table6[[#This Row],[Affected WTG]],'Basic Data'!$A:$A,'Basic Data'!$B:$B)</f>
        <v>PWEGPL</v>
      </c>
      <c r="I428" s="39" t="str">
        <f>_xlfn.XLOOKUP(Table6[[#This Row],[Affected WTG]],'Basic Data'!$A:$A,'Basic Data'!$C:$C)</f>
        <v>MSEDCL</v>
      </c>
      <c r="J428" s="363">
        <f>IFERROR(VLOOKUP(Table6[[#This Row],[Affected WTG]],'Basic Data'!$A$3:$E$56,5,0),"")</f>
        <v>2.564102564102564E-2</v>
      </c>
      <c r="K428" s="121" t="s">
        <v>492</v>
      </c>
      <c r="L428" s="39" t="str">
        <f>IFERROR(VLOOKUP(Table6[[#This Row],[Error Code]],'Basic Data'!$T:$U,2,0),"")</f>
        <v>Manual Stop - Safety Related</v>
      </c>
      <c r="M428" s="364" t="s">
        <v>481</v>
      </c>
      <c r="O428" s="365">
        <v>0</v>
      </c>
      <c r="P428" s="365">
        <v>0.99930555555555556</v>
      </c>
      <c r="Q428" s="365">
        <v>0.99930555555555556</v>
      </c>
      <c r="R428" s="366">
        <f>IF(Table6[[#This Row],[Work Start TimeStamp]]="","",(Table6[[#This Row],[Work Start TimeStamp]]-Table6[[#This Row],[Fault Start TimeStamp]])*24)</f>
        <v>23.983333333333334</v>
      </c>
      <c r="S428" s="367">
        <f>(Table6[[#This Row],[Fault Clearance time]]-Table6[[#This Row],[Work Start TimeStamp]])*24</f>
        <v>0</v>
      </c>
      <c r="T428" s="368">
        <f>(Table6[[#This Row],[Fault Clearance time]]-Table6[[#This Row],[Fault Start TimeStamp]])*24</f>
        <v>23.983333333333334</v>
      </c>
      <c r="U428" s="364" t="s">
        <v>498</v>
      </c>
      <c r="V428" s="369" t="s">
        <v>473</v>
      </c>
      <c r="W428" s="354">
        <f>Table6[[#This Row],[Breakdown Time]]*(1/39)</f>
        <v>0.61495726495726499</v>
      </c>
      <c r="X428" s="352" t="s">
        <v>468</v>
      </c>
      <c r="Y428" s="370" t="s">
        <v>141</v>
      </c>
      <c r="Z428" s="121">
        <v>15526</v>
      </c>
      <c r="AA428" s="123">
        <v>15515.218055555555</v>
      </c>
      <c r="AB428" s="121" t="s">
        <v>478</v>
      </c>
    </row>
    <row r="429" spans="1:28">
      <c r="A429" s="121">
        <f t="shared" si="6"/>
        <v>428</v>
      </c>
      <c r="B429" s="123">
        <f>YEAR(Table6[[#This Row],[Date]])+IF(MONTH(Table6[[#This Row],[Date]])&gt;=4,1,0)</f>
        <v>2026</v>
      </c>
      <c r="C429" s="121">
        <f>YEAR(Table6[[#This Row],[Date]])</f>
        <v>2025</v>
      </c>
      <c r="D429" s="121" t="s">
        <v>490</v>
      </c>
      <c r="E429" s="135">
        <f>Table6[[#This Row],[Date]]-DAY(Table6[[#This Row],[Date]])+1</f>
        <v>45778</v>
      </c>
      <c r="F429" s="134">
        <v>45778</v>
      </c>
      <c r="G429" s="121" t="s">
        <v>130</v>
      </c>
      <c r="H429" s="39" t="str">
        <f>_xlfn.XLOOKUP(Table6[[#This Row],[Affected WTG]],'Basic Data'!$A:$A,'Basic Data'!$B:$B)</f>
        <v>PWEGPL</v>
      </c>
      <c r="I429" s="39" t="str">
        <f>_xlfn.XLOOKUP(Table6[[#This Row],[Affected WTG]],'Basic Data'!$A:$A,'Basic Data'!$C:$C)</f>
        <v>MSEDCL</v>
      </c>
      <c r="J429" s="363">
        <f>IFERROR(VLOOKUP(Table6[[#This Row],[Affected WTG]],'Basic Data'!$A$3:$E$56,5,0),"")</f>
        <v>2.564102564102564E-2</v>
      </c>
      <c r="K429" s="121">
        <v>203</v>
      </c>
      <c r="L429" s="39" t="str">
        <f>IFERROR(VLOOKUP(Table6[[#This Row],[Error Code]],'Basic Data'!$T:$U,2,0),"")</f>
        <v>Low Pressure On Hydraulic Group</v>
      </c>
      <c r="M429" s="364" t="s">
        <v>462</v>
      </c>
      <c r="O429" s="365">
        <v>0.34722222222222221</v>
      </c>
      <c r="P429" s="365">
        <v>0.38541666666666669</v>
      </c>
      <c r="Q429" s="365">
        <v>0.38611111111111113</v>
      </c>
      <c r="R429" s="366">
        <f>IF(Table6[[#This Row],[Work Start TimeStamp]]="","",(Table6[[#This Row],[Work Start TimeStamp]]-Table6[[#This Row],[Fault Start TimeStamp]])*24)</f>
        <v>0.91666666666666741</v>
      </c>
      <c r="S429" s="367">
        <f>(Table6[[#This Row],[Fault Clearance time]]-Table6[[#This Row],[Work Start TimeStamp]])*24</f>
        <v>1.6666666666666607E-2</v>
      </c>
      <c r="T429" s="368">
        <f>(Table6[[#This Row],[Fault Clearance time]]-Table6[[#This Row],[Fault Start TimeStamp]])*24</f>
        <v>0.93333333333333401</v>
      </c>
      <c r="U429" s="364" t="s">
        <v>493</v>
      </c>
      <c r="V429" s="369" t="s">
        <v>463</v>
      </c>
      <c r="W429" s="354">
        <f>Table6[[#This Row],[Breakdown Time]]*(1/39)</f>
        <v>2.3931623931623947E-2</v>
      </c>
      <c r="X429" s="352" t="s">
        <v>465</v>
      </c>
      <c r="Y429" s="370" t="s">
        <v>131</v>
      </c>
      <c r="Z429" s="121">
        <v>16529</v>
      </c>
      <c r="AA429" s="123">
        <v>642.79444444444493</v>
      </c>
      <c r="AB429" s="121" t="s">
        <v>478</v>
      </c>
    </row>
    <row r="430" spans="1:28">
      <c r="A430" s="121">
        <f t="shared" si="6"/>
        <v>429</v>
      </c>
      <c r="B430" s="123">
        <f>YEAR(Table6[[#This Row],[Date]])+IF(MONTH(Table6[[#This Row],[Date]])&gt;=4,1,0)</f>
        <v>2026</v>
      </c>
      <c r="C430" s="121">
        <f>YEAR(Table6[[#This Row],[Date]])</f>
        <v>2025</v>
      </c>
      <c r="D430" s="121" t="s">
        <v>490</v>
      </c>
      <c r="E430" s="135">
        <f>Table6[[#This Row],[Date]]-DAY(Table6[[#This Row],[Date]])+1</f>
        <v>45778</v>
      </c>
      <c r="F430" s="134">
        <v>45778</v>
      </c>
      <c r="G430" s="121" t="s">
        <v>136</v>
      </c>
      <c r="H430" s="39" t="str">
        <f>_xlfn.XLOOKUP(Table6[[#This Row],[Affected WTG]],'Basic Data'!$A:$A,'Basic Data'!$B:$B)</f>
        <v>PWEGPL</v>
      </c>
      <c r="I430" s="39" t="str">
        <f>_xlfn.XLOOKUP(Table6[[#This Row],[Affected WTG]],'Basic Data'!$A:$A,'Basic Data'!$C:$C)</f>
        <v>MSEDCL</v>
      </c>
      <c r="J430" s="363">
        <f>IFERROR(VLOOKUP(Table6[[#This Row],[Affected WTG]],'Basic Data'!$A$3:$E$56,5,0),"")</f>
        <v>2.564102564102564E-2</v>
      </c>
      <c r="K430" s="121">
        <v>2118</v>
      </c>
      <c r="L430" s="39" t="str">
        <f>IFERROR(VLOOKUP(Table6[[#This Row],[Error Code]],'Basic Data'!$T:$U,2,0),"")</f>
        <v>Bus Error - Interbus Failure</v>
      </c>
      <c r="M430" s="364" t="s">
        <v>462</v>
      </c>
      <c r="O430" s="365">
        <v>0.35555555555555557</v>
      </c>
      <c r="P430" s="365">
        <v>0.40625</v>
      </c>
      <c r="Q430" s="365">
        <v>0.52777777777777779</v>
      </c>
      <c r="R430" s="366">
        <f>IF(Table6[[#This Row],[Work Start TimeStamp]]="","",(Table6[[#This Row],[Work Start TimeStamp]]-Table6[[#This Row],[Fault Start TimeStamp]])*24)</f>
        <v>1.2166666666666663</v>
      </c>
      <c r="S430" s="367">
        <f>(Table6[[#This Row],[Fault Clearance time]]-Table6[[#This Row],[Work Start TimeStamp]])*24</f>
        <v>2.916666666666667</v>
      </c>
      <c r="T430" s="368">
        <f>(Table6[[#This Row],[Fault Clearance time]]-Table6[[#This Row],[Fault Start TimeStamp]])*24</f>
        <v>4.1333333333333329</v>
      </c>
      <c r="U430" s="364" t="s">
        <v>574</v>
      </c>
      <c r="V430" s="369" t="s">
        <v>463</v>
      </c>
      <c r="W430" s="354">
        <f>Table6[[#This Row],[Breakdown Time]]*(1/39)</f>
        <v>0.10598290598290597</v>
      </c>
      <c r="X430" s="352" t="s">
        <v>465</v>
      </c>
      <c r="Y430" s="370" t="s">
        <v>119</v>
      </c>
      <c r="Z430" s="121">
        <v>15121</v>
      </c>
      <c r="AA430" s="123">
        <v>2604.172222222222</v>
      </c>
      <c r="AB430" s="121" t="s">
        <v>478</v>
      </c>
    </row>
    <row r="431" spans="1:28">
      <c r="A431" s="121">
        <f t="shared" si="6"/>
        <v>430</v>
      </c>
      <c r="B431" s="123">
        <f>YEAR(Table6[[#This Row],[Date]])+IF(MONTH(Table6[[#This Row],[Date]])&gt;=4,1,0)</f>
        <v>2026</v>
      </c>
      <c r="C431" s="121">
        <f>YEAR(Table6[[#This Row],[Date]])</f>
        <v>2025</v>
      </c>
      <c r="D431" s="121" t="s">
        <v>490</v>
      </c>
      <c r="E431" s="135">
        <f>Table6[[#This Row],[Date]]-DAY(Table6[[#This Row],[Date]])+1</f>
        <v>45778</v>
      </c>
      <c r="F431" s="134">
        <v>45778</v>
      </c>
      <c r="G431" s="121" t="s">
        <v>136</v>
      </c>
      <c r="H431" s="39" t="str">
        <f>_xlfn.XLOOKUP(Table6[[#This Row],[Affected WTG]],'Basic Data'!$A:$A,'Basic Data'!$B:$B)</f>
        <v>PWEGPL</v>
      </c>
      <c r="I431" s="39" t="str">
        <f>_xlfn.XLOOKUP(Table6[[#This Row],[Affected WTG]],'Basic Data'!$A:$A,'Basic Data'!$C:$C)</f>
        <v>MSEDCL</v>
      </c>
      <c r="J431" s="363">
        <f>IFERROR(VLOOKUP(Table6[[#This Row],[Affected WTG]],'Basic Data'!$A$3:$E$56,5,0),"")</f>
        <v>2.564102564102564E-2</v>
      </c>
      <c r="K431" s="121">
        <v>208</v>
      </c>
      <c r="L431" s="39" t="str">
        <f>IFERROR(VLOOKUP(Table6[[#This Row],[Error Code]],'Basic Data'!$T:$U,2,0),"")</f>
        <v>HU Pump Drive Failure</v>
      </c>
      <c r="M431" s="364" t="s">
        <v>462</v>
      </c>
      <c r="O431" s="365">
        <v>0.54861111111111116</v>
      </c>
      <c r="P431" s="365">
        <v>0.5493055555555556</v>
      </c>
      <c r="Q431" s="365">
        <v>0.59722222222222221</v>
      </c>
      <c r="R431" s="366">
        <f>IF(Table6[[#This Row],[Work Start TimeStamp]]="","",(Table6[[#This Row],[Work Start TimeStamp]]-Table6[[#This Row],[Fault Start TimeStamp]])*24)</f>
        <v>1.6666666666666607E-2</v>
      </c>
      <c r="S431" s="367">
        <f>(Table6[[#This Row],[Fault Clearance time]]-Table6[[#This Row],[Work Start TimeStamp]])*24</f>
        <v>1.1499999999999986</v>
      </c>
      <c r="T431" s="368">
        <f>(Table6[[#This Row],[Fault Clearance time]]-Table6[[#This Row],[Fault Start TimeStamp]])*24</f>
        <v>1.1666666666666652</v>
      </c>
      <c r="U431" s="364" t="s">
        <v>506</v>
      </c>
      <c r="V431" s="369" t="s">
        <v>463</v>
      </c>
      <c r="W431" s="354">
        <f>Table6[[#This Row],[Breakdown Time]]*(1/39)</f>
        <v>2.9914529914529874E-2</v>
      </c>
      <c r="X431" s="352" t="s">
        <v>465</v>
      </c>
      <c r="Y431" s="370" t="s">
        <v>119</v>
      </c>
      <c r="Z431" s="121">
        <v>15121</v>
      </c>
      <c r="AA431" s="123">
        <v>735.04861111111018</v>
      </c>
      <c r="AB431" s="121" t="s">
        <v>478</v>
      </c>
    </row>
    <row r="432" spans="1:28">
      <c r="A432" s="121">
        <f t="shared" si="6"/>
        <v>431</v>
      </c>
      <c r="B432" s="123">
        <f>YEAR(Table6[[#This Row],[Date]])+IF(MONTH(Table6[[#This Row],[Date]])&gt;=4,1,0)</f>
        <v>2026</v>
      </c>
      <c r="C432" s="121">
        <f>YEAR(Table6[[#This Row],[Date]])</f>
        <v>2025</v>
      </c>
      <c r="D432" s="121" t="s">
        <v>490</v>
      </c>
      <c r="E432" s="135">
        <f>Table6[[#This Row],[Date]]-DAY(Table6[[#This Row],[Date]])+1</f>
        <v>45778</v>
      </c>
      <c r="F432" s="134">
        <v>45778</v>
      </c>
      <c r="G432" s="121" t="s">
        <v>136</v>
      </c>
      <c r="H432" s="39" t="str">
        <f>_xlfn.XLOOKUP(Table6[[#This Row],[Affected WTG]],'Basic Data'!$A:$A,'Basic Data'!$B:$B)</f>
        <v>PWEGPL</v>
      </c>
      <c r="I432" s="39" t="str">
        <f>_xlfn.XLOOKUP(Table6[[#This Row],[Affected WTG]],'Basic Data'!$A:$A,'Basic Data'!$C:$C)</f>
        <v>MSEDCL</v>
      </c>
      <c r="J432" s="363">
        <f>IFERROR(VLOOKUP(Table6[[#This Row],[Affected WTG]],'Basic Data'!$A$3:$E$56,5,0),"")</f>
        <v>2.564102564102564E-2</v>
      </c>
      <c r="K432" s="121">
        <v>5201</v>
      </c>
      <c r="L432" s="39" t="str">
        <f>IFERROR(VLOOKUP(Table6[[#This Row],[Error Code]],'Basic Data'!$T:$U,2,0),"")</f>
        <v>Magnetothermic Trigger Of The Stator Protection</v>
      </c>
      <c r="M432" s="364" t="s">
        <v>462</v>
      </c>
      <c r="O432" s="365">
        <v>0.6333333333333333</v>
      </c>
      <c r="P432" s="365">
        <v>0.63402777777777775</v>
      </c>
      <c r="Q432" s="365">
        <v>0.67013888888888884</v>
      </c>
      <c r="R432" s="366">
        <f>IF(Table6[[#This Row],[Work Start TimeStamp]]="","",(Table6[[#This Row],[Work Start TimeStamp]]-Table6[[#This Row],[Fault Start TimeStamp]])*24)</f>
        <v>1.6666666666666607E-2</v>
      </c>
      <c r="S432" s="367">
        <f>(Table6[[#This Row],[Fault Clearance time]]-Table6[[#This Row],[Work Start TimeStamp]])*24</f>
        <v>0.86666666666666625</v>
      </c>
      <c r="T432" s="368">
        <f>(Table6[[#This Row],[Fault Clearance time]]-Table6[[#This Row],[Fault Start TimeStamp]])*24</f>
        <v>0.88333333333333286</v>
      </c>
      <c r="U432" s="364" t="s">
        <v>575</v>
      </c>
      <c r="V432" s="369" t="s">
        <v>463</v>
      </c>
      <c r="W432" s="354">
        <f>Table6[[#This Row],[Breakdown Time]]*(1/39)</f>
        <v>2.2649572649572635E-2</v>
      </c>
      <c r="X432" s="352" t="s">
        <v>465</v>
      </c>
      <c r="Y432" s="370" t="s">
        <v>119</v>
      </c>
      <c r="Z432" s="121">
        <v>15121</v>
      </c>
      <c r="AA432" s="123">
        <v>556.53680555555525</v>
      </c>
      <c r="AB432" s="121" t="s">
        <v>478</v>
      </c>
    </row>
    <row r="433" spans="1:28">
      <c r="A433" s="121">
        <f t="shared" si="6"/>
        <v>432</v>
      </c>
      <c r="B433" s="123">
        <f>YEAR(Table6[[#This Row],[Date]])+IF(MONTH(Table6[[#This Row],[Date]])&gt;=4,1,0)</f>
        <v>2026</v>
      </c>
      <c r="C433" s="121">
        <f>YEAR(Table6[[#This Row],[Date]])</f>
        <v>2025</v>
      </c>
      <c r="D433" s="121" t="s">
        <v>490</v>
      </c>
      <c r="E433" s="135">
        <f>Table6[[#This Row],[Date]]-DAY(Table6[[#This Row],[Date]])+1</f>
        <v>45778</v>
      </c>
      <c r="F433" s="134">
        <v>45778</v>
      </c>
      <c r="G433" s="121" t="s">
        <v>143</v>
      </c>
      <c r="H433" s="39" t="str">
        <f>_xlfn.XLOOKUP(Table6[[#This Row],[Affected WTG]],'Basic Data'!$A:$A,'Basic Data'!$B:$B)</f>
        <v>PWEGPL</v>
      </c>
      <c r="I433" s="39" t="str">
        <f>_xlfn.XLOOKUP(Table6[[#This Row],[Affected WTG]],'Basic Data'!$A:$A,'Basic Data'!$C:$C)</f>
        <v>MSEDCL</v>
      </c>
      <c r="J433" s="363">
        <f>IFERROR(VLOOKUP(Table6[[#This Row],[Affected WTG]],'Basic Data'!$A$3:$E$56,5,0),"")</f>
        <v>2.564102564102564E-2</v>
      </c>
      <c r="K433" s="121" t="s">
        <v>492</v>
      </c>
      <c r="L433" s="39" t="str">
        <f>IFERROR(VLOOKUP(Table6[[#This Row],[Error Code]],'Basic Data'!$T:$U,2,0),"")</f>
        <v>Manual Stop - Safety Related</v>
      </c>
      <c r="M433" s="364" t="s">
        <v>481</v>
      </c>
      <c r="O433" s="365">
        <v>0.60069444444444442</v>
      </c>
      <c r="P433" s="365">
        <v>0.60069444444444442</v>
      </c>
      <c r="Q433" s="365">
        <v>0.71319444444444446</v>
      </c>
      <c r="R433" s="366">
        <f>IF(Table6[[#This Row],[Work Start TimeStamp]]="","",(Table6[[#This Row],[Work Start TimeStamp]]-Table6[[#This Row],[Fault Start TimeStamp]])*24)</f>
        <v>0</v>
      </c>
      <c r="S433" s="367">
        <f>(Table6[[#This Row],[Fault Clearance time]]-Table6[[#This Row],[Work Start TimeStamp]])*24</f>
        <v>2.7000000000000011</v>
      </c>
      <c r="T433" s="368">
        <f>(Table6[[#This Row],[Fault Clearance time]]-Table6[[#This Row],[Fault Start TimeStamp]])*24</f>
        <v>2.7000000000000011</v>
      </c>
      <c r="U433" s="364" t="s">
        <v>508</v>
      </c>
      <c r="V433" s="369" t="s">
        <v>463</v>
      </c>
      <c r="W433" s="354">
        <f>Table6[[#This Row],[Breakdown Time]]*(1/39)</f>
        <v>6.9230769230769262E-2</v>
      </c>
      <c r="X433" s="352" t="s">
        <v>468</v>
      </c>
      <c r="Y433" s="370" t="s">
        <v>141</v>
      </c>
      <c r="Z433" s="121">
        <v>15526</v>
      </c>
      <c r="AA433" s="123">
        <v>1746.6750000000006</v>
      </c>
      <c r="AB433" s="121" t="s">
        <v>478</v>
      </c>
    </row>
    <row r="434" spans="1:28">
      <c r="A434" s="121">
        <f t="shared" si="6"/>
        <v>433</v>
      </c>
      <c r="B434" s="123">
        <f>YEAR(Table6[[#This Row],[Date]])+IF(MONTH(Table6[[#This Row],[Date]])&gt;=4,1,0)</f>
        <v>2026</v>
      </c>
      <c r="C434" s="121">
        <f>YEAR(Table6[[#This Row],[Date]])</f>
        <v>2025</v>
      </c>
      <c r="D434" s="121" t="s">
        <v>490</v>
      </c>
      <c r="E434" s="135">
        <f>Table6[[#This Row],[Date]]-DAY(Table6[[#This Row],[Date]])+1</f>
        <v>45778</v>
      </c>
      <c r="F434" s="134">
        <v>45778</v>
      </c>
      <c r="G434" s="121" t="s">
        <v>146</v>
      </c>
      <c r="H434" s="39" t="str">
        <f>_xlfn.XLOOKUP(Table6[[#This Row],[Affected WTG]],'Basic Data'!$A:$A,'Basic Data'!$B:$B)</f>
        <v>PWEGPL</v>
      </c>
      <c r="I434" s="39" t="str">
        <f>_xlfn.XLOOKUP(Table6[[#This Row],[Affected WTG]],'Basic Data'!$A:$A,'Basic Data'!$C:$C)</f>
        <v>MSEDCL</v>
      </c>
      <c r="J434" s="363">
        <f>IFERROR(VLOOKUP(Table6[[#This Row],[Affected WTG]],'Basic Data'!$A$3:$E$56,5,0),"")</f>
        <v>2.564102564102564E-2</v>
      </c>
      <c r="K434" s="121" t="s">
        <v>476</v>
      </c>
      <c r="L434" s="39" t="str">
        <f>IFERROR(VLOOKUP(Table6[[#This Row],[Error Code]],'Basic Data'!$T:$U,2,0),"")</f>
        <v>Manual Stop - Preventive Maintenance Activity</v>
      </c>
      <c r="M434" s="364" t="s">
        <v>474</v>
      </c>
      <c r="O434" s="365">
        <v>0.47291666666666665</v>
      </c>
      <c r="P434" s="365">
        <v>0.47291666666666665</v>
      </c>
      <c r="Q434" s="365">
        <v>0.72569444444444442</v>
      </c>
      <c r="R434" s="366">
        <f>IF(Table6[[#This Row],[Work Start TimeStamp]]="","",(Table6[[#This Row],[Work Start TimeStamp]]-Table6[[#This Row],[Fault Start TimeStamp]])*24)</f>
        <v>0</v>
      </c>
      <c r="S434" s="367">
        <f>(Table6[[#This Row],[Fault Clearance time]]-Table6[[#This Row],[Work Start TimeStamp]])*24</f>
        <v>6.0666666666666664</v>
      </c>
      <c r="T434" s="368">
        <f>(Table6[[#This Row],[Fault Clearance time]]-Table6[[#This Row],[Fault Start TimeStamp]])*24</f>
        <v>6.0666666666666664</v>
      </c>
      <c r="U434" s="364" t="s">
        <v>567</v>
      </c>
      <c r="V434" s="369" t="s">
        <v>463</v>
      </c>
      <c r="W434" s="354">
        <f>Table6[[#This Row],[Breakdown Time]]*(1/39)</f>
        <v>0.15555555555555553</v>
      </c>
      <c r="X434" s="352" t="s">
        <v>467</v>
      </c>
      <c r="Y434" s="370" t="s">
        <v>147</v>
      </c>
      <c r="Z434" s="121">
        <v>15535</v>
      </c>
      <c r="AA434" s="123">
        <v>3926.9027777777774</v>
      </c>
      <c r="AB434" s="121" t="s">
        <v>478</v>
      </c>
    </row>
    <row r="435" spans="1:28">
      <c r="A435" s="121">
        <f t="shared" si="6"/>
        <v>434</v>
      </c>
      <c r="B435" s="123">
        <f>YEAR(Table6[[#This Row],[Date]])+IF(MONTH(Table6[[#This Row],[Date]])&gt;=4,1,0)</f>
        <v>2026</v>
      </c>
      <c r="C435" s="121">
        <f>YEAR(Table6[[#This Row],[Date]])</f>
        <v>2025</v>
      </c>
      <c r="D435" s="121" t="s">
        <v>490</v>
      </c>
      <c r="E435" s="135">
        <f>Table6[[#This Row],[Date]]-DAY(Table6[[#This Row],[Date]])+1</f>
        <v>45778</v>
      </c>
      <c r="F435" s="134">
        <v>45778</v>
      </c>
      <c r="G435" s="121" t="s">
        <v>121</v>
      </c>
      <c r="H435" s="39" t="str">
        <f>_xlfn.XLOOKUP(Table6[[#This Row],[Affected WTG]],'Basic Data'!$A:$A,'Basic Data'!$B:$B)</f>
        <v>PWEGPL</v>
      </c>
      <c r="I435" s="39" t="str">
        <f>_xlfn.XLOOKUP(Table6[[#This Row],[Affected WTG]],'Basic Data'!$A:$A,'Basic Data'!$C:$C)</f>
        <v>MSEDCL</v>
      </c>
      <c r="J435" s="363">
        <f>IFERROR(VLOOKUP(Table6[[#This Row],[Affected WTG]],'Basic Data'!$A$3:$E$56,5,0),"")</f>
        <v>2.564102564102564E-2</v>
      </c>
      <c r="K435" s="121" t="s">
        <v>487</v>
      </c>
      <c r="L435" s="39" t="str">
        <f>IFERROR(VLOOKUP(Table6[[#This Row],[Error Code]],'Basic Data'!$T:$U,2,0),"")</f>
        <v>General Work Stoppage</v>
      </c>
      <c r="M435" s="364" t="s">
        <v>479</v>
      </c>
      <c r="O435" s="365">
        <v>0.34791666666666665</v>
      </c>
      <c r="P435" s="365">
        <v>0.34791666666666665</v>
      </c>
      <c r="Q435" s="365">
        <v>0.56388888888888888</v>
      </c>
      <c r="R435" s="366">
        <f>IF(Table6[[#This Row],[Work Start TimeStamp]]="","",(Table6[[#This Row],[Work Start TimeStamp]]-Table6[[#This Row],[Fault Start TimeStamp]])*24)</f>
        <v>0</v>
      </c>
      <c r="S435" s="367">
        <f>(Table6[[#This Row],[Fault Clearance time]]-Table6[[#This Row],[Work Start TimeStamp]])*24</f>
        <v>5.1833333333333336</v>
      </c>
      <c r="T435" s="368">
        <f>(Table6[[#This Row],[Fault Clearance time]]-Table6[[#This Row],[Fault Start TimeStamp]])*24</f>
        <v>5.1833333333333336</v>
      </c>
      <c r="U435" s="364" t="s">
        <v>576</v>
      </c>
      <c r="V435" s="369" t="s">
        <v>463</v>
      </c>
      <c r="W435" s="354">
        <f>Table6[[#This Row],[Breakdown Time]]*(1/39)</f>
        <v>0.13290598290598291</v>
      </c>
      <c r="X435" s="352" t="s">
        <v>464</v>
      </c>
      <c r="Y435" s="370" t="s">
        <v>115</v>
      </c>
      <c r="Z435" s="121">
        <v>16821</v>
      </c>
      <c r="AA435" s="123">
        <v>3632.8687500000001</v>
      </c>
      <c r="AB435" s="121" t="s">
        <v>478</v>
      </c>
    </row>
    <row r="436" spans="1:28">
      <c r="A436" s="121">
        <f t="shared" si="6"/>
        <v>435</v>
      </c>
      <c r="B436" s="123">
        <f>YEAR(Table6[[#This Row],[Date]])+IF(MONTH(Table6[[#This Row],[Date]])&gt;=4,1,0)</f>
        <v>2026</v>
      </c>
      <c r="C436" s="121">
        <f>YEAR(Table6[[#This Row],[Date]])</f>
        <v>2025</v>
      </c>
      <c r="D436" s="121" t="s">
        <v>490</v>
      </c>
      <c r="E436" s="135">
        <f>Table6[[#This Row],[Date]]-DAY(Table6[[#This Row],[Date]])+1</f>
        <v>45778</v>
      </c>
      <c r="F436" s="134">
        <v>45779</v>
      </c>
      <c r="G436" s="121" t="s">
        <v>144</v>
      </c>
      <c r="H436" s="39" t="str">
        <f>_xlfn.XLOOKUP(Table6[[#This Row],[Affected WTG]],'Basic Data'!$A:$A,'Basic Data'!$B:$B)</f>
        <v>PWEGPL</v>
      </c>
      <c r="I436" s="39" t="str">
        <f>_xlfn.XLOOKUP(Table6[[#This Row],[Affected WTG]],'Basic Data'!$A:$A,'Basic Data'!$C:$C)</f>
        <v>MSEDCL</v>
      </c>
      <c r="J436" s="363">
        <f>IFERROR(VLOOKUP(Table6[[#This Row],[Affected WTG]],'Basic Data'!$A$3:$E$56,5,0),"")</f>
        <v>2.564102564102564E-2</v>
      </c>
      <c r="K436" s="121" t="s">
        <v>492</v>
      </c>
      <c r="L436" s="39" t="str">
        <f>IFERROR(VLOOKUP(Table6[[#This Row],[Error Code]],'Basic Data'!$T:$U,2,0),"")</f>
        <v>Manual Stop - Safety Related</v>
      </c>
      <c r="M436" s="364" t="s">
        <v>481</v>
      </c>
      <c r="O436" s="365">
        <v>0</v>
      </c>
      <c r="P436" s="365">
        <v>0.99930555555555556</v>
      </c>
      <c r="Q436" s="365">
        <v>0.99930555555555556</v>
      </c>
      <c r="R436" s="366">
        <f>IF(Table6[[#This Row],[Work Start TimeStamp]]="","",(Table6[[#This Row],[Work Start TimeStamp]]-Table6[[#This Row],[Fault Start TimeStamp]])*24)</f>
        <v>23.983333333333334</v>
      </c>
      <c r="S436" s="367">
        <f>(Table6[[#This Row],[Fault Clearance time]]-Table6[[#This Row],[Work Start TimeStamp]])*24</f>
        <v>0</v>
      </c>
      <c r="T436" s="368">
        <f>(Table6[[#This Row],[Fault Clearance time]]-Table6[[#This Row],[Fault Start TimeStamp]])*24</f>
        <v>23.983333333333334</v>
      </c>
      <c r="U436" s="364" t="s">
        <v>498</v>
      </c>
      <c r="V436" s="369" t="s">
        <v>473</v>
      </c>
      <c r="W436" s="354">
        <f>Table6[[#This Row],[Breakdown Time]]*(1/39)</f>
        <v>0.61495726495726499</v>
      </c>
      <c r="X436" s="352" t="s">
        <v>468</v>
      </c>
      <c r="Y436" s="370" t="s">
        <v>141</v>
      </c>
      <c r="Z436" s="121">
        <v>12844</v>
      </c>
      <c r="AA436" s="123">
        <v>12835.080555555554</v>
      </c>
      <c r="AB436" s="121" t="s">
        <v>478</v>
      </c>
    </row>
    <row r="437" spans="1:28">
      <c r="A437" s="121">
        <f t="shared" si="6"/>
        <v>436</v>
      </c>
      <c r="B437" s="123">
        <f>YEAR(Table6[[#This Row],[Date]])+IF(MONTH(Table6[[#This Row],[Date]])&gt;=4,1,0)</f>
        <v>2026</v>
      </c>
      <c r="C437" s="121">
        <f>YEAR(Table6[[#This Row],[Date]])</f>
        <v>2025</v>
      </c>
      <c r="D437" s="121" t="s">
        <v>490</v>
      </c>
      <c r="E437" s="135">
        <f>Table6[[#This Row],[Date]]-DAY(Table6[[#This Row],[Date]])+1</f>
        <v>45778</v>
      </c>
      <c r="F437" s="134">
        <v>45779</v>
      </c>
      <c r="G437" s="121" t="s">
        <v>142</v>
      </c>
      <c r="H437" s="39" t="str">
        <f>_xlfn.XLOOKUP(Table6[[#This Row],[Affected WTG]],'Basic Data'!$A:$A,'Basic Data'!$B:$B)</f>
        <v>PWEGPL</v>
      </c>
      <c r="I437" s="39" t="str">
        <f>_xlfn.XLOOKUP(Table6[[#This Row],[Affected WTG]],'Basic Data'!$A:$A,'Basic Data'!$C:$C)</f>
        <v>MSEDCL</v>
      </c>
      <c r="J437" s="363">
        <f>IFERROR(VLOOKUP(Table6[[#This Row],[Affected WTG]],'Basic Data'!$A$3:$E$56,5,0),"")</f>
        <v>2.564102564102564E-2</v>
      </c>
      <c r="K437" s="121" t="s">
        <v>492</v>
      </c>
      <c r="L437" s="39" t="str">
        <f>IFERROR(VLOOKUP(Table6[[#This Row],[Error Code]],'Basic Data'!$T:$U,2,0),"")</f>
        <v>Manual Stop - Safety Related</v>
      </c>
      <c r="M437" s="364" t="s">
        <v>481</v>
      </c>
      <c r="O437" s="365">
        <v>0</v>
      </c>
      <c r="P437" s="365">
        <v>0.99930555555555556</v>
      </c>
      <c r="Q437" s="365">
        <v>0.99930555555555556</v>
      </c>
      <c r="R437" s="366">
        <f>IF(Table6[[#This Row],[Work Start TimeStamp]]="","",(Table6[[#This Row],[Work Start TimeStamp]]-Table6[[#This Row],[Fault Start TimeStamp]])*24)</f>
        <v>23.983333333333334</v>
      </c>
      <c r="S437" s="367">
        <f>(Table6[[#This Row],[Fault Clearance time]]-Table6[[#This Row],[Work Start TimeStamp]])*24</f>
        <v>0</v>
      </c>
      <c r="T437" s="368">
        <f>(Table6[[#This Row],[Fault Clearance time]]-Table6[[#This Row],[Fault Start TimeStamp]])*24</f>
        <v>23.983333333333334</v>
      </c>
      <c r="U437" s="364" t="s">
        <v>498</v>
      </c>
      <c r="V437" s="369" t="s">
        <v>473</v>
      </c>
      <c r="W437" s="354">
        <f>Table6[[#This Row],[Breakdown Time]]*(1/39)</f>
        <v>0.61495726495726499</v>
      </c>
      <c r="X437" s="352" t="s">
        <v>468</v>
      </c>
      <c r="Y437" s="370" t="s">
        <v>141</v>
      </c>
      <c r="Z437" s="121">
        <v>12844</v>
      </c>
      <c r="AA437" s="123">
        <v>12835.080555555554</v>
      </c>
      <c r="AB437" s="121" t="s">
        <v>478</v>
      </c>
    </row>
    <row r="438" spans="1:28">
      <c r="A438" s="121">
        <f t="shared" si="6"/>
        <v>437</v>
      </c>
      <c r="B438" s="123">
        <f>YEAR(Table6[[#This Row],[Date]])+IF(MONTH(Table6[[#This Row],[Date]])&gt;=4,1,0)</f>
        <v>2026</v>
      </c>
      <c r="C438" s="121">
        <f>YEAR(Table6[[#This Row],[Date]])</f>
        <v>2025</v>
      </c>
      <c r="D438" s="121" t="s">
        <v>490</v>
      </c>
      <c r="E438" s="135">
        <f>Table6[[#This Row],[Date]]-DAY(Table6[[#This Row],[Date]])+1</f>
        <v>45778</v>
      </c>
      <c r="F438" s="134">
        <v>45779</v>
      </c>
      <c r="G438" s="121" t="s">
        <v>121</v>
      </c>
      <c r="H438" s="39" t="str">
        <f>_xlfn.XLOOKUP(Table6[[#This Row],[Affected WTG]],'Basic Data'!$A:$A,'Basic Data'!$B:$B)</f>
        <v>PWEGPL</v>
      </c>
      <c r="I438" s="39" t="str">
        <f>_xlfn.XLOOKUP(Table6[[#This Row],[Affected WTG]],'Basic Data'!$A:$A,'Basic Data'!$C:$C)</f>
        <v>MSEDCL</v>
      </c>
      <c r="J438" s="363">
        <f>IFERROR(VLOOKUP(Table6[[#This Row],[Affected WTG]],'Basic Data'!$A$3:$E$56,5,0),"")</f>
        <v>2.564102564102564E-2</v>
      </c>
      <c r="K438" s="121">
        <v>205</v>
      </c>
      <c r="L438" s="39" t="str">
        <f>IFERROR(VLOOKUP(Table6[[#This Row],[Error Code]],'Basic Data'!$T:$U,2,0),"")</f>
        <v>Low Level Hydraulic Group Refrigeration Oil</v>
      </c>
      <c r="M438" s="364" t="s">
        <v>462</v>
      </c>
      <c r="O438" s="365">
        <v>0.1875</v>
      </c>
      <c r="P438" s="365">
        <v>0.35069444444444442</v>
      </c>
      <c r="Q438" s="365">
        <v>0.62638888888888888</v>
      </c>
      <c r="R438" s="366">
        <f>IF(Table6[[#This Row],[Work Start TimeStamp]]="","",(Table6[[#This Row],[Work Start TimeStamp]]-Table6[[#This Row],[Fault Start TimeStamp]])*24)</f>
        <v>3.9166666666666661</v>
      </c>
      <c r="S438" s="367">
        <f>(Table6[[#This Row],[Fault Clearance time]]-Table6[[#This Row],[Work Start TimeStamp]])*24</f>
        <v>6.6166666666666671</v>
      </c>
      <c r="T438" s="368">
        <f>(Table6[[#This Row],[Fault Clearance time]]-Table6[[#This Row],[Fault Start TimeStamp]])*24</f>
        <v>10.533333333333333</v>
      </c>
      <c r="U438" s="364" t="s">
        <v>577</v>
      </c>
      <c r="V438" s="369" t="s">
        <v>463</v>
      </c>
      <c r="W438" s="354">
        <f>Table6[[#This Row],[Breakdown Time]]*(1/39)</f>
        <v>0.27008547008547007</v>
      </c>
      <c r="X438" s="352" t="s">
        <v>464</v>
      </c>
      <c r="Y438" s="370" t="s">
        <v>115</v>
      </c>
      <c r="Z438" s="121">
        <v>14789</v>
      </c>
      <c r="AA438" s="123">
        <v>5956.6805555555566</v>
      </c>
      <c r="AB438" s="121" t="s">
        <v>478</v>
      </c>
    </row>
    <row r="439" spans="1:28">
      <c r="A439" s="121">
        <f t="shared" si="6"/>
        <v>438</v>
      </c>
      <c r="B439" s="123">
        <f>YEAR(Table6[[#This Row],[Date]])+IF(MONTH(Table6[[#This Row],[Date]])&gt;=4,1,0)</f>
        <v>2026</v>
      </c>
      <c r="C439" s="121">
        <f>YEAR(Table6[[#This Row],[Date]])</f>
        <v>2025</v>
      </c>
      <c r="D439" s="121" t="s">
        <v>490</v>
      </c>
      <c r="E439" s="135">
        <f>Table6[[#This Row],[Date]]-DAY(Table6[[#This Row],[Date]])+1</f>
        <v>45778</v>
      </c>
      <c r="F439" s="134">
        <v>45779</v>
      </c>
      <c r="G439" s="121" t="s">
        <v>132</v>
      </c>
      <c r="H439" s="39" t="str">
        <f>_xlfn.XLOOKUP(Table6[[#This Row],[Affected WTG]],'Basic Data'!$A:$A,'Basic Data'!$B:$B)</f>
        <v>PWEGPL</v>
      </c>
      <c r="I439" s="39" t="str">
        <f>_xlfn.XLOOKUP(Table6[[#This Row],[Affected WTG]],'Basic Data'!$A:$A,'Basic Data'!$C:$C)</f>
        <v>MSEDCL</v>
      </c>
      <c r="J439" s="363">
        <f>IFERROR(VLOOKUP(Table6[[#This Row],[Affected WTG]],'Basic Data'!$A$3:$E$56,5,0),"")</f>
        <v>2.564102564102564E-2</v>
      </c>
      <c r="K439" s="121">
        <v>5236</v>
      </c>
      <c r="L439" s="39" t="str">
        <f>IFERROR(VLOOKUP(Table6[[#This Row],[Error Code]],'Basic Data'!$T:$U,2,0),"")</f>
        <v>Error In Phase R Of The Inverter</v>
      </c>
      <c r="M439" s="364" t="s">
        <v>462</v>
      </c>
      <c r="O439" s="365">
        <v>0.38194444444444442</v>
      </c>
      <c r="P439" s="365">
        <v>0.3972222222222222</v>
      </c>
      <c r="Q439" s="365">
        <v>0.63958333333333328</v>
      </c>
      <c r="R439" s="366">
        <f>IF(Table6[[#This Row],[Work Start TimeStamp]]="","",(Table6[[#This Row],[Work Start TimeStamp]]-Table6[[#This Row],[Fault Start TimeStamp]])*24)</f>
        <v>0.3666666666666667</v>
      </c>
      <c r="S439" s="367">
        <f>(Table6[[#This Row],[Fault Clearance time]]-Table6[[#This Row],[Work Start TimeStamp]])*24</f>
        <v>5.8166666666666664</v>
      </c>
      <c r="T439" s="368">
        <f>(Table6[[#This Row],[Fault Clearance time]]-Table6[[#This Row],[Fault Start TimeStamp]])*24</f>
        <v>6.1833333333333327</v>
      </c>
      <c r="U439" s="364" t="s">
        <v>578</v>
      </c>
      <c r="V439" s="369" t="s">
        <v>463</v>
      </c>
      <c r="W439" s="354">
        <f>Table6[[#This Row],[Breakdown Time]]*(1/39)</f>
        <v>0.15854700854700851</v>
      </c>
      <c r="X439" s="352" t="s">
        <v>465</v>
      </c>
      <c r="Y439" s="370" t="s">
        <v>133</v>
      </c>
      <c r="Z439" s="121">
        <v>14789</v>
      </c>
      <c r="AA439" s="123">
        <v>3810.2215277777777</v>
      </c>
      <c r="AB439" s="121" t="s">
        <v>478</v>
      </c>
    </row>
    <row r="440" spans="1:28">
      <c r="A440" s="121">
        <f t="shared" si="6"/>
        <v>439</v>
      </c>
      <c r="B440" s="123">
        <f>YEAR(Table6[[#This Row],[Date]])+IF(MONTH(Table6[[#This Row],[Date]])&gt;=4,1,0)</f>
        <v>2026</v>
      </c>
      <c r="C440" s="121">
        <f>YEAR(Table6[[#This Row],[Date]])</f>
        <v>2025</v>
      </c>
      <c r="D440" s="121" t="s">
        <v>490</v>
      </c>
      <c r="E440" s="135">
        <f>Table6[[#This Row],[Date]]-DAY(Table6[[#This Row],[Date]])+1</f>
        <v>45778</v>
      </c>
      <c r="F440" s="134">
        <v>45779</v>
      </c>
      <c r="G440" s="121" t="s">
        <v>136</v>
      </c>
      <c r="H440" s="39" t="str">
        <f>_xlfn.XLOOKUP(Table6[[#This Row],[Affected WTG]],'Basic Data'!$A:$A,'Basic Data'!$B:$B)</f>
        <v>PWEGPL</v>
      </c>
      <c r="I440" s="39" t="str">
        <f>_xlfn.XLOOKUP(Table6[[#This Row],[Affected WTG]],'Basic Data'!$A:$A,'Basic Data'!$C:$C)</f>
        <v>MSEDCL</v>
      </c>
      <c r="J440" s="363">
        <f>IFERROR(VLOOKUP(Table6[[#This Row],[Affected WTG]],'Basic Data'!$A$3:$E$56,5,0),"")</f>
        <v>2.564102564102564E-2</v>
      </c>
      <c r="K440" s="121">
        <v>203</v>
      </c>
      <c r="L440" s="39" t="str">
        <f>IFERROR(VLOOKUP(Table6[[#This Row],[Error Code]],'Basic Data'!$T:$U,2,0),"")</f>
        <v>Low Pressure On Hydraulic Group</v>
      </c>
      <c r="M440" s="364" t="s">
        <v>462</v>
      </c>
      <c r="O440" s="365">
        <v>0.67013888888888884</v>
      </c>
      <c r="P440" s="365">
        <v>0.67013888888888884</v>
      </c>
      <c r="Q440" s="365">
        <v>0.67361111111111116</v>
      </c>
      <c r="R440" s="366">
        <f>IF(Table6[[#This Row],[Work Start TimeStamp]]="","",(Table6[[#This Row],[Work Start TimeStamp]]-Table6[[#This Row],[Fault Start TimeStamp]])*24)</f>
        <v>0</v>
      </c>
      <c r="S440" s="367">
        <f>(Table6[[#This Row],[Fault Clearance time]]-Table6[[#This Row],[Work Start TimeStamp]])*24</f>
        <v>8.3333333333335702E-2</v>
      </c>
      <c r="T440" s="368">
        <f>(Table6[[#This Row],[Fault Clearance time]]-Table6[[#This Row],[Fault Start TimeStamp]])*24</f>
        <v>8.3333333333335702E-2</v>
      </c>
      <c r="U440" s="364" t="s">
        <v>480</v>
      </c>
      <c r="V440" s="369" t="s">
        <v>463</v>
      </c>
      <c r="W440" s="354">
        <f>Table6[[#This Row],[Breakdown Time]]*(1/39)</f>
        <v>2.1367521367521972E-3</v>
      </c>
      <c r="X440" s="352" t="s">
        <v>465</v>
      </c>
      <c r="Y440" s="370" t="s">
        <v>119</v>
      </c>
      <c r="Z440" s="121">
        <v>14538</v>
      </c>
      <c r="AA440" s="123">
        <v>50.4791666666681</v>
      </c>
      <c r="AB440" s="121" t="s">
        <v>478</v>
      </c>
    </row>
    <row r="441" spans="1:28">
      <c r="A441" s="121">
        <f t="shared" si="6"/>
        <v>440</v>
      </c>
      <c r="B441" s="123">
        <f>YEAR(Table6[[#This Row],[Date]])+IF(MONTH(Table6[[#This Row],[Date]])&gt;=4,1,0)</f>
        <v>2026</v>
      </c>
      <c r="C441" s="121">
        <f>YEAR(Table6[[#This Row],[Date]])</f>
        <v>2025</v>
      </c>
      <c r="D441" s="121" t="s">
        <v>490</v>
      </c>
      <c r="E441" s="135">
        <f>Table6[[#This Row],[Date]]-DAY(Table6[[#This Row],[Date]])+1</f>
        <v>45778</v>
      </c>
      <c r="F441" s="134">
        <v>45779</v>
      </c>
      <c r="G441" s="121" t="s">
        <v>140</v>
      </c>
      <c r="H441" s="39" t="str">
        <f>_xlfn.XLOOKUP(Table6[[#This Row],[Affected WTG]],'Basic Data'!$A:$A,'Basic Data'!$B:$B)</f>
        <v>PWEGPL</v>
      </c>
      <c r="I441" s="39" t="str">
        <f>_xlfn.XLOOKUP(Table6[[#This Row],[Affected WTG]],'Basic Data'!$A:$A,'Basic Data'!$C:$C)</f>
        <v>MSEDCL</v>
      </c>
      <c r="J441" s="363">
        <f>IFERROR(VLOOKUP(Table6[[#This Row],[Affected WTG]],'Basic Data'!$A$3:$E$56,5,0),"")</f>
        <v>2.564102564102564E-2</v>
      </c>
      <c r="K441" s="121" t="s">
        <v>492</v>
      </c>
      <c r="L441" s="39" t="str">
        <f>IFERROR(VLOOKUP(Table6[[#This Row],[Error Code]],'Basic Data'!$T:$U,2,0),"")</f>
        <v>Manual Stop - Safety Related</v>
      </c>
      <c r="M441" s="364" t="s">
        <v>481</v>
      </c>
      <c r="O441" s="365">
        <v>0.49583333333333335</v>
      </c>
      <c r="P441" s="365">
        <v>0.49583333333333335</v>
      </c>
      <c r="Q441" s="365">
        <v>0.64166666666666672</v>
      </c>
      <c r="R441" s="366">
        <f>IF(Table6[[#This Row],[Work Start TimeStamp]]="","",(Table6[[#This Row],[Work Start TimeStamp]]-Table6[[#This Row],[Fault Start TimeStamp]])*24)</f>
        <v>0</v>
      </c>
      <c r="S441" s="367">
        <f>(Table6[[#This Row],[Fault Clearance time]]-Table6[[#This Row],[Work Start TimeStamp]])*24</f>
        <v>3.5000000000000009</v>
      </c>
      <c r="T441" s="368">
        <f>(Table6[[#This Row],[Fault Clearance time]]-Table6[[#This Row],[Fault Start TimeStamp]])*24</f>
        <v>3.5000000000000009</v>
      </c>
      <c r="U441" s="364" t="s">
        <v>508</v>
      </c>
      <c r="V441" s="369" t="s">
        <v>463</v>
      </c>
      <c r="W441" s="354">
        <f>Table6[[#This Row],[Breakdown Time]]*(1/39)</f>
        <v>8.9743589743589758E-2</v>
      </c>
      <c r="X441" s="352" t="s">
        <v>465</v>
      </c>
      <c r="Y441" s="370" t="s">
        <v>138</v>
      </c>
      <c r="Z441" s="121">
        <v>12889</v>
      </c>
      <c r="AA441" s="123">
        <v>1879.6458333333337</v>
      </c>
      <c r="AB441" s="121" t="s">
        <v>478</v>
      </c>
    </row>
    <row r="442" spans="1:28">
      <c r="A442" s="121">
        <f t="shared" si="6"/>
        <v>441</v>
      </c>
      <c r="B442" s="123">
        <f>YEAR(Table6[[#This Row],[Date]])+IF(MONTH(Table6[[#This Row],[Date]])&gt;=4,1,0)</f>
        <v>2026</v>
      </c>
      <c r="C442" s="121">
        <f>YEAR(Table6[[#This Row],[Date]])</f>
        <v>2025</v>
      </c>
      <c r="D442" s="121" t="s">
        <v>490</v>
      </c>
      <c r="E442" s="135">
        <f>Table6[[#This Row],[Date]]-DAY(Table6[[#This Row],[Date]])+1</f>
        <v>45778</v>
      </c>
      <c r="F442" s="134">
        <v>45779</v>
      </c>
      <c r="G442" s="121" t="s">
        <v>145</v>
      </c>
      <c r="H442" s="39" t="str">
        <f>_xlfn.XLOOKUP(Table6[[#This Row],[Affected WTG]],'Basic Data'!$A:$A,'Basic Data'!$B:$B)</f>
        <v>PWEGPL</v>
      </c>
      <c r="I442" s="39" t="str">
        <f>_xlfn.XLOOKUP(Table6[[#This Row],[Affected WTG]],'Basic Data'!$A:$A,'Basic Data'!$C:$C)</f>
        <v>MSEDCL</v>
      </c>
      <c r="J442" s="363">
        <f>IFERROR(VLOOKUP(Table6[[#This Row],[Affected WTG]],'Basic Data'!$A$3:$E$56,5,0),"")</f>
        <v>2.564102564102564E-2</v>
      </c>
      <c r="K442" s="121">
        <v>119</v>
      </c>
      <c r="L442" s="39" t="str">
        <f>IFERROR(VLOOKUP(Table6[[#This Row],[Error Code]],'Basic Data'!$T:$U,2,0),"")</f>
        <v>Yaw Contactor Active</v>
      </c>
      <c r="M442" s="364" t="s">
        <v>462</v>
      </c>
      <c r="O442" s="365">
        <v>0.66388888888888886</v>
      </c>
      <c r="P442" s="365">
        <v>0.69097222222222221</v>
      </c>
      <c r="Q442" s="365">
        <v>0.69236111111111109</v>
      </c>
      <c r="R442" s="366">
        <f>IF(Table6[[#This Row],[Work Start TimeStamp]]="","",(Table6[[#This Row],[Work Start TimeStamp]]-Table6[[#This Row],[Fault Start TimeStamp]])*24)</f>
        <v>0.65000000000000036</v>
      </c>
      <c r="S442" s="367">
        <f>(Table6[[#This Row],[Fault Clearance time]]-Table6[[#This Row],[Work Start TimeStamp]])*24</f>
        <v>3.3333333333333215E-2</v>
      </c>
      <c r="T442" s="368">
        <f>(Table6[[#This Row],[Fault Clearance time]]-Table6[[#This Row],[Fault Start TimeStamp]])*24</f>
        <v>0.68333333333333357</v>
      </c>
      <c r="U442" s="364" t="s">
        <v>491</v>
      </c>
      <c r="V442" s="369" t="s">
        <v>463</v>
      </c>
      <c r="W442" s="354">
        <f>Table6[[#This Row],[Breakdown Time]]*(1/39)</f>
        <v>1.7521367521367529E-2</v>
      </c>
      <c r="X442" s="352" t="s">
        <v>465</v>
      </c>
      <c r="Y442" s="370" t="s">
        <v>139</v>
      </c>
      <c r="Z442" s="121">
        <v>11834</v>
      </c>
      <c r="AA442" s="123">
        <v>336.94027777777791</v>
      </c>
      <c r="AB442" s="121" t="s">
        <v>478</v>
      </c>
    </row>
    <row r="443" spans="1:28">
      <c r="A443" s="121">
        <f t="shared" si="6"/>
        <v>442</v>
      </c>
      <c r="B443" s="123">
        <f>YEAR(Table6[[#This Row],[Date]])+IF(MONTH(Table6[[#This Row],[Date]])&gt;=4,1,0)</f>
        <v>2026</v>
      </c>
      <c r="C443" s="121">
        <f>YEAR(Table6[[#This Row],[Date]])</f>
        <v>2025</v>
      </c>
      <c r="D443" s="121" t="s">
        <v>490</v>
      </c>
      <c r="E443" s="135">
        <f>Table6[[#This Row],[Date]]-DAY(Table6[[#This Row],[Date]])+1</f>
        <v>45778</v>
      </c>
      <c r="F443" s="134">
        <v>45780</v>
      </c>
      <c r="G443" s="121" t="s">
        <v>144</v>
      </c>
      <c r="H443" s="39" t="str">
        <f>_xlfn.XLOOKUP(Table6[[#This Row],[Affected WTG]],'Basic Data'!$A:$A,'Basic Data'!$B:$B)</f>
        <v>PWEGPL</v>
      </c>
      <c r="I443" s="39" t="str">
        <f>_xlfn.XLOOKUP(Table6[[#This Row],[Affected WTG]],'Basic Data'!$A:$A,'Basic Data'!$C:$C)</f>
        <v>MSEDCL</v>
      </c>
      <c r="J443" s="363">
        <f>IFERROR(VLOOKUP(Table6[[#This Row],[Affected WTG]],'Basic Data'!$A$3:$E$56,5,0),"")</f>
        <v>2.564102564102564E-2</v>
      </c>
      <c r="K443" s="121" t="s">
        <v>492</v>
      </c>
      <c r="L443" s="39" t="str">
        <f>IFERROR(VLOOKUP(Table6[[#This Row],[Error Code]],'Basic Data'!$T:$U,2,0),"")</f>
        <v>Manual Stop - Safety Related</v>
      </c>
      <c r="M443" s="364" t="s">
        <v>481</v>
      </c>
      <c r="O443" s="365">
        <v>0</v>
      </c>
      <c r="P443" s="365">
        <v>0.99930555555555556</v>
      </c>
      <c r="Q443" s="365">
        <v>0.99930555555555556</v>
      </c>
      <c r="R443" s="366">
        <f>IF(Table6[[#This Row],[Work Start TimeStamp]]="","",(Table6[[#This Row],[Work Start TimeStamp]]-Table6[[#This Row],[Fault Start TimeStamp]])*24)</f>
        <v>23.983333333333334</v>
      </c>
      <c r="S443" s="367">
        <f>(Table6[[#This Row],[Fault Clearance time]]-Table6[[#This Row],[Work Start TimeStamp]])*24</f>
        <v>0</v>
      </c>
      <c r="T443" s="368">
        <f>(Table6[[#This Row],[Fault Clearance time]]-Table6[[#This Row],[Fault Start TimeStamp]])*24</f>
        <v>23.983333333333334</v>
      </c>
      <c r="U443" s="364" t="s">
        <v>498</v>
      </c>
      <c r="V443" s="369" t="s">
        <v>473</v>
      </c>
      <c r="W443" s="354">
        <f>Table6[[#This Row],[Breakdown Time]]*(1/39)</f>
        <v>0.61495726495726499</v>
      </c>
      <c r="X443" s="352" t="s">
        <v>468</v>
      </c>
      <c r="Y443" s="370" t="s">
        <v>141</v>
      </c>
      <c r="Z443" s="121">
        <v>16562</v>
      </c>
      <c r="AA443" s="123">
        <v>16550.498611111114</v>
      </c>
      <c r="AB443" s="121" t="s">
        <v>478</v>
      </c>
    </row>
    <row r="444" spans="1:28">
      <c r="A444" s="121">
        <f t="shared" si="6"/>
        <v>443</v>
      </c>
      <c r="B444" s="123">
        <f>YEAR(Table6[[#This Row],[Date]])+IF(MONTH(Table6[[#This Row],[Date]])&gt;=4,1,0)</f>
        <v>2026</v>
      </c>
      <c r="C444" s="121">
        <f>YEAR(Table6[[#This Row],[Date]])</f>
        <v>2025</v>
      </c>
      <c r="D444" s="121" t="s">
        <v>490</v>
      </c>
      <c r="E444" s="135">
        <f>Table6[[#This Row],[Date]]-DAY(Table6[[#This Row],[Date]])+1</f>
        <v>45778</v>
      </c>
      <c r="F444" s="134">
        <v>45780</v>
      </c>
      <c r="G444" s="121" t="s">
        <v>142</v>
      </c>
      <c r="H444" s="39" t="str">
        <f>_xlfn.XLOOKUP(Table6[[#This Row],[Affected WTG]],'Basic Data'!$A:$A,'Basic Data'!$B:$B)</f>
        <v>PWEGPL</v>
      </c>
      <c r="I444" s="39" t="str">
        <f>_xlfn.XLOOKUP(Table6[[#This Row],[Affected WTG]],'Basic Data'!$A:$A,'Basic Data'!$C:$C)</f>
        <v>MSEDCL</v>
      </c>
      <c r="J444" s="363">
        <f>IFERROR(VLOOKUP(Table6[[#This Row],[Affected WTG]],'Basic Data'!$A$3:$E$56,5,0),"")</f>
        <v>2.564102564102564E-2</v>
      </c>
      <c r="K444" s="121" t="s">
        <v>492</v>
      </c>
      <c r="L444" s="39" t="str">
        <f>IFERROR(VLOOKUP(Table6[[#This Row],[Error Code]],'Basic Data'!$T:$U,2,0),"")</f>
        <v>Manual Stop - Safety Related</v>
      </c>
      <c r="M444" s="364" t="s">
        <v>481</v>
      </c>
      <c r="O444" s="365">
        <v>0</v>
      </c>
      <c r="P444" s="365">
        <v>0.99930555555555556</v>
      </c>
      <c r="Q444" s="365">
        <v>0.99930555555555556</v>
      </c>
      <c r="R444" s="366">
        <f>IF(Table6[[#This Row],[Work Start TimeStamp]]="","",(Table6[[#This Row],[Work Start TimeStamp]]-Table6[[#This Row],[Fault Start TimeStamp]])*24)</f>
        <v>23.983333333333334</v>
      </c>
      <c r="S444" s="367">
        <f>(Table6[[#This Row],[Fault Clearance time]]-Table6[[#This Row],[Work Start TimeStamp]])*24</f>
        <v>0</v>
      </c>
      <c r="T444" s="368">
        <f>(Table6[[#This Row],[Fault Clearance time]]-Table6[[#This Row],[Fault Start TimeStamp]])*24</f>
        <v>23.983333333333334</v>
      </c>
      <c r="U444" s="364" t="s">
        <v>498</v>
      </c>
      <c r="V444" s="369" t="s">
        <v>473</v>
      </c>
      <c r="W444" s="354">
        <f>Table6[[#This Row],[Breakdown Time]]*(1/39)</f>
        <v>0.61495726495726499</v>
      </c>
      <c r="X444" s="352" t="s">
        <v>468</v>
      </c>
      <c r="Y444" s="370" t="s">
        <v>141</v>
      </c>
      <c r="Z444" s="121">
        <v>16562</v>
      </c>
      <c r="AA444" s="123">
        <v>16550.498611111114</v>
      </c>
      <c r="AB444" s="121" t="s">
        <v>478</v>
      </c>
    </row>
    <row r="445" spans="1:28">
      <c r="A445" s="121">
        <f t="shared" si="6"/>
        <v>444</v>
      </c>
      <c r="B445" s="123">
        <f>YEAR(Table6[[#This Row],[Date]])+IF(MONTH(Table6[[#This Row],[Date]])&gt;=4,1,0)</f>
        <v>2026</v>
      </c>
      <c r="C445" s="121">
        <f>YEAR(Table6[[#This Row],[Date]])</f>
        <v>2025</v>
      </c>
      <c r="D445" s="121" t="s">
        <v>490</v>
      </c>
      <c r="E445" s="135">
        <f>Table6[[#This Row],[Date]]-DAY(Table6[[#This Row],[Date]])+1</f>
        <v>45778</v>
      </c>
      <c r="F445" s="134">
        <v>45780</v>
      </c>
      <c r="G445" s="121" t="s">
        <v>123</v>
      </c>
      <c r="H445" s="39" t="str">
        <f>_xlfn.XLOOKUP(Table6[[#This Row],[Affected WTG]],'Basic Data'!$A:$A,'Basic Data'!$B:$B)</f>
        <v>PWEGPL</v>
      </c>
      <c r="I445" s="39" t="str">
        <f>_xlfn.XLOOKUP(Table6[[#This Row],[Affected WTG]],'Basic Data'!$A:$A,'Basic Data'!$C:$C)</f>
        <v>MSEDCL</v>
      </c>
      <c r="J445" s="363">
        <f>IFERROR(VLOOKUP(Table6[[#This Row],[Affected WTG]],'Basic Data'!$A$3:$E$56,5,0),"")</f>
        <v>2.564102564102564E-2</v>
      </c>
      <c r="K445" s="121">
        <v>222</v>
      </c>
      <c r="L445" s="39" t="str">
        <f>IFERROR(VLOOKUP(Table6[[#This Row],[Error Code]],'Basic Data'!$T:$U,2,0),"")</f>
        <v>Very Low Pressure On Hydraulic Unit</v>
      </c>
      <c r="M445" s="364" t="s">
        <v>462</v>
      </c>
      <c r="O445" s="365">
        <v>0.63194444444444442</v>
      </c>
      <c r="P445" s="365">
        <v>0.64930555555555558</v>
      </c>
      <c r="Q445" s="365">
        <v>0.65</v>
      </c>
      <c r="R445" s="366">
        <f>IF(Table6[[#This Row],[Work Start TimeStamp]]="","",(Table6[[#This Row],[Work Start TimeStamp]]-Table6[[#This Row],[Fault Start TimeStamp]])*24)</f>
        <v>0.41666666666666785</v>
      </c>
      <c r="S445" s="367">
        <f>(Table6[[#This Row],[Fault Clearance time]]-Table6[[#This Row],[Work Start TimeStamp]])*24</f>
        <v>1.6666666666666607E-2</v>
      </c>
      <c r="T445" s="368">
        <f>(Table6[[#This Row],[Fault Clearance time]]-Table6[[#This Row],[Fault Start TimeStamp]])*24</f>
        <v>0.43333333333333446</v>
      </c>
      <c r="U445" s="364" t="s">
        <v>493</v>
      </c>
      <c r="V445" s="369" t="s">
        <v>463</v>
      </c>
      <c r="W445" s="354">
        <f>Table6[[#This Row],[Breakdown Time]]*(1/39)</f>
        <v>1.1111111111111139E-2</v>
      </c>
      <c r="X445" s="352" t="s">
        <v>465</v>
      </c>
      <c r="Y445" s="370" t="s">
        <v>126</v>
      </c>
      <c r="Z445" s="121">
        <v>17727</v>
      </c>
      <c r="AA445" s="123">
        <v>320.07083333333418</v>
      </c>
      <c r="AB445" s="121" t="s">
        <v>478</v>
      </c>
    </row>
    <row r="446" spans="1:28">
      <c r="A446" s="121">
        <f t="shared" si="6"/>
        <v>445</v>
      </c>
      <c r="B446" s="123">
        <f>YEAR(Table6[[#This Row],[Date]])+IF(MONTH(Table6[[#This Row],[Date]])&gt;=4,1,0)</f>
        <v>2026</v>
      </c>
      <c r="C446" s="121">
        <f>YEAR(Table6[[#This Row],[Date]])</f>
        <v>2025</v>
      </c>
      <c r="D446" s="121" t="s">
        <v>490</v>
      </c>
      <c r="E446" s="135">
        <f>Table6[[#This Row],[Date]]-DAY(Table6[[#This Row],[Date]])+1</f>
        <v>45778</v>
      </c>
      <c r="F446" s="134">
        <v>45780</v>
      </c>
      <c r="G446" s="121" t="s">
        <v>126</v>
      </c>
      <c r="H446" s="39" t="str">
        <f>_xlfn.XLOOKUP(Table6[[#This Row],[Affected WTG]],'Basic Data'!$A:$A,'Basic Data'!$B:$B)</f>
        <v>PWEGPL</v>
      </c>
      <c r="I446" s="39" t="str">
        <f>_xlfn.XLOOKUP(Table6[[#This Row],[Affected WTG]],'Basic Data'!$A:$A,'Basic Data'!$C:$C)</f>
        <v>MSEDCL</v>
      </c>
      <c r="J446" s="363">
        <f>IFERROR(VLOOKUP(Table6[[#This Row],[Affected WTG]],'Basic Data'!$A$3:$E$56,5,0),"")</f>
        <v>2.564102564102564E-2</v>
      </c>
      <c r="K446" s="121">
        <v>203</v>
      </c>
      <c r="L446" s="39" t="str">
        <f>IFERROR(VLOOKUP(Table6[[#This Row],[Error Code]],'Basic Data'!$T:$U,2,0),"")</f>
        <v>Low Pressure On Hydraulic Group</v>
      </c>
      <c r="M446" s="364" t="s">
        <v>462</v>
      </c>
      <c r="O446" s="365">
        <v>0.61250000000000004</v>
      </c>
      <c r="P446" s="365">
        <v>0.62638888888888888</v>
      </c>
      <c r="Q446" s="365">
        <v>0.62708333333333333</v>
      </c>
      <c r="R446" s="366">
        <f>IF(Table6[[#This Row],[Work Start TimeStamp]]="","",(Table6[[#This Row],[Work Start TimeStamp]]-Table6[[#This Row],[Fault Start TimeStamp]])*24)</f>
        <v>0.33333333333333215</v>
      </c>
      <c r="S446" s="367">
        <f>(Table6[[#This Row],[Fault Clearance time]]-Table6[[#This Row],[Work Start TimeStamp]])*24</f>
        <v>1.6666666666666607E-2</v>
      </c>
      <c r="T446" s="368">
        <f>(Table6[[#This Row],[Fault Clearance time]]-Table6[[#This Row],[Fault Start TimeStamp]])*24</f>
        <v>0.34999999999999876</v>
      </c>
      <c r="U446" s="364" t="s">
        <v>493</v>
      </c>
      <c r="V446" s="369" t="s">
        <v>463</v>
      </c>
      <c r="W446" s="354">
        <f>Table6[[#This Row],[Breakdown Time]]*(1/39)</f>
        <v>8.9743589743589425E-3</v>
      </c>
      <c r="X446" s="352" t="s">
        <v>465</v>
      </c>
      <c r="Y446" s="370" t="s">
        <v>127</v>
      </c>
      <c r="Z446" s="121">
        <v>18239</v>
      </c>
      <c r="AA446" s="123">
        <v>265.98541666666574</v>
      </c>
      <c r="AB446" s="121" t="s">
        <v>478</v>
      </c>
    </row>
    <row r="447" spans="1:28">
      <c r="A447" s="121">
        <f t="shared" si="6"/>
        <v>446</v>
      </c>
      <c r="B447" s="123">
        <f>YEAR(Table6[[#This Row],[Date]])+IF(MONTH(Table6[[#This Row],[Date]])&gt;=4,1,0)</f>
        <v>2026</v>
      </c>
      <c r="C447" s="121">
        <f>YEAR(Table6[[#This Row],[Date]])</f>
        <v>2025</v>
      </c>
      <c r="D447" s="121" t="s">
        <v>490</v>
      </c>
      <c r="E447" s="135">
        <f>Table6[[#This Row],[Date]]-DAY(Table6[[#This Row],[Date]])+1</f>
        <v>45778</v>
      </c>
      <c r="F447" s="134">
        <v>45780</v>
      </c>
      <c r="G447" s="121" t="s">
        <v>133</v>
      </c>
      <c r="H447" s="39" t="str">
        <f>_xlfn.XLOOKUP(Table6[[#This Row],[Affected WTG]],'Basic Data'!$A:$A,'Basic Data'!$B:$B)</f>
        <v>PWEGPL</v>
      </c>
      <c r="I447" s="39" t="str">
        <f>_xlfn.XLOOKUP(Table6[[#This Row],[Affected WTG]],'Basic Data'!$A:$A,'Basic Data'!$C:$C)</f>
        <v>MSEDCL</v>
      </c>
      <c r="J447" s="363">
        <f>IFERROR(VLOOKUP(Table6[[#This Row],[Affected WTG]],'Basic Data'!$A$3:$E$56,5,0),"")</f>
        <v>2.564102564102564E-2</v>
      </c>
      <c r="K447" s="121" t="s">
        <v>466</v>
      </c>
      <c r="L447" s="39" t="str">
        <f>IFERROR(VLOOKUP(Table6[[#This Row],[Error Code]],'Basic Data'!$T:$U,2,0),"")</f>
        <v>Manual Stop</v>
      </c>
      <c r="M447" s="364" t="s">
        <v>479</v>
      </c>
      <c r="O447" s="365">
        <v>0.35416666666666669</v>
      </c>
      <c r="P447" s="365">
        <v>0.35416666666666669</v>
      </c>
      <c r="Q447" s="365">
        <v>0.55625000000000002</v>
      </c>
      <c r="R447" s="366">
        <f>IF(Table6[[#This Row],[Work Start TimeStamp]]="","",(Table6[[#This Row],[Work Start TimeStamp]]-Table6[[#This Row],[Fault Start TimeStamp]])*24)</f>
        <v>0</v>
      </c>
      <c r="S447" s="367">
        <f>(Table6[[#This Row],[Fault Clearance time]]-Table6[[#This Row],[Work Start TimeStamp]])*24</f>
        <v>4.8499999999999996</v>
      </c>
      <c r="T447" s="368">
        <f>(Table6[[#This Row],[Fault Clearance time]]-Table6[[#This Row],[Fault Start TimeStamp]])*24</f>
        <v>4.8499999999999996</v>
      </c>
      <c r="U447" s="364" t="s">
        <v>579</v>
      </c>
      <c r="V447" s="369" t="s">
        <v>463</v>
      </c>
      <c r="W447" s="354">
        <f>Table6[[#This Row],[Breakdown Time]]*(1/39)</f>
        <v>0.12435897435897435</v>
      </c>
      <c r="X447" s="352" t="s">
        <v>464</v>
      </c>
      <c r="Y447" s="370" t="s">
        <v>132</v>
      </c>
      <c r="Z447" s="121">
        <v>18234</v>
      </c>
      <c r="AA447" s="123">
        <v>3684.7874999999999</v>
      </c>
      <c r="AB447" s="121" t="s">
        <v>478</v>
      </c>
    </row>
    <row r="448" spans="1:28">
      <c r="A448" s="121">
        <f t="shared" si="6"/>
        <v>447</v>
      </c>
      <c r="B448" s="123">
        <f>YEAR(Table6[[#This Row],[Date]])+IF(MONTH(Table6[[#This Row],[Date]])&gt;=4,1,0)</f>
        <v>2026</v>
      </c>
      <c r="C448" s="121">
        <f>YEAR(Table6[[#This Row],[Date]])</f>
        <v>2025</v>
      </c>
      <c r="D448" s="121" t="s">
        <v>490</v>
      </c>
      <c r="E448" s="135">
        <f>Table6[[#This Row],[Date]]-DAY(Table6[[#This Row],[Date]])+1</f>
        <v>45778</v>
      </c>
      <c r="F448" s="134">
        <v>45780</v>
      </c>
      <c r="G448" s="121" t="s">
        <v>145</v>
      </c>
      <c r="H448" s="39" t="str">
        <f>_xlfn.XLOOKUP(Table6[[#This Row],[Affected WTG]],'Basic Data'!$A:$A,'Basic Data'!$B:$B)</f>
        <v>PWEGPL</v>
      </c>
      <c r="I448" s="39" t="str">
        <f>_xlfn.XLOOKUP(Table6[[#This Row],[Affected WTG]],'Basic Data'!$A:$A,'Basic Data'!$C:$C)</f>
        <v>MSEDCL</v>
      </c>
      <c r="J448" s="363">
        <f>IFERROR(VLOOKUP(Table6[[#This Row],[Affected WTG]],'Basic Data'!$A$3:$E$56,5,0),"")</f>
        <v>2.564102564102564E-2</v>
      </c>
      <c r="K448" s="121">
        <v>102</v>
      </c>
      <c r="L448" s="39" t="str">
        <f>IFERROR(VLOOKUP(Table6[[#This Row],[Error Code]],'Basic Data'!$T:$U,2,0),"")</f>
        <v>CW Feedback Failure</v>
      </c>
      <c r="M448" s="364" t="s">
        <v>462</v>
      </c>
      <c r="O448" s="365">
        <v>0.40625</v>
      </c>
      <c r="P448" s="365">
        <v>0.43055555555555558</v>
      </c>
      <c r="Q448" s="365">
        <v>0.43125000000000002</v>
      </c>
      <c r="R448" s="366">
        <f>IF(Table6[[#This Row],[Work Start TimeStamp]]="","",(Table6[[#This Row],[Work Start TimeStamp]]-Table6[[#This Row],[Fault Start TimeStamp]])*24)</f>
        <v>0.58333333333333393</v>
      </c>
      <c r="S448" s="367">
        <f>(Table6[[#This Row],[Fault Clearance time]]-Table6[[#This Row],[Work Start TimeStamp]])*24</f>
        <v>1.6666666666666607E-2</v>
      </c>
      <c r="T448" s="368">
        <f>(Table6[[#This Row],[Fault Clearance time]]-Table6[[#This Row],[Fault Start TimeStamp]])*24</f>
        <v>0.60000000000000053</v>
      </c>
      <c r="U448" s="364" t="s">
        <v>493</v>
      </c>
      <c r="V448" s="369" t="s">
        <v>463</v>
      </c>
      <c r="W448" s="354">
        <f>Table6[[#This Row],[Breakdown Time]]*(1/39)</f>
        <v>1.5384615384615398E-2</v>
      </c>
      <c r="X448" s="352" t="s">
        <v>465</v>
      </c>
      <c r="Y448" s="370" t="s">
        <v>139</v>
      </c>
      <c r="Z448" s="121">
        <v>14845</v>
      </c>
      <c r="AA448" s="123">
        <v>371.12500000000028</v>
      </c>
      <c r="AB448" s="121" t="s">
        <v>478</v>
      </c>
    </row>
    <row r="449" spans="1:28">
      <c r="A449" s="121">
        <f t="shared" si="6"/>
        <v>448</v>
      </c>
      <c r="B449" s="123">
        <f>YEAR(Table6[[#This Row],[Date]])+IF(MONTH(Table6[[#This Row],[Date]])&gt;=4,1,0)</f>
        <v>2026</v>
      </c>
      <c r="C449" s="121">
        <f>YEAR(Table6[[#This Row],[Date]])</f>
        <v>2025</v>
      </c>
      <c r="D449" s="121" t="s">
        <v>490</v>
      </c>
      <c r="E449" s="135">
        <f>Table6[[#This Row],[Date]]-DAY(Table6[[#This Row],[Date]])+1</f>
        <v>45778</v>
      </c>
      <c r="F449" s="134">
        <v>45780</v>
      </c>
      <c r="G449" s="121" t="s">
        <v>148</v>
      </c>
      <c r="H449" s="39" t="str">
        <f>_xlfn.XLOOKUP(Table6[[#This Row],[Affected WTG]],'Basic Data'!$A:$A,'Basic Data'!$B:$B)</f>
        <v>PWEGPL</v>
      </c>
      <c r="I449" s="39" t="str">
        <f>_xlfn.XLOOKUP(Table6[[#This Row],[Affected WTG]],'Basic Data'!$A:$A,'Basic Data'!$C:$C)</f>
        <v>MSEDCL</v>
      </c>
      <c r="J449" s="363">
        <f>IFERROR(VLOOKUP(Table6[[#This Row],[Affected WTG]],'Basic Data'!$A$3:$E$56,5,0),"")</f>
        <v>2.564102564102564E-2</v>
      </c>
      <c r="K449" s="121" t="s">
        <v>476</v>
      </c>
      <c r="L449" s="39" t="str">
        <f>IFERROR(VLOOKUP(Table6[[#This Row],[Error Code]],'Basic Data'!$T:$U,2,0),"")</f>
        <v>Manual Stop - Preventive Maintenance Activity</v>
      </c>
      <c r="M449" s="364" t="s">
        <v>474</v>
      </c>
      <c r="O449" s="365">
        <v>0.47291666666666665</v>
      </c>
      <c r="P449" s="365">
        <v>0.47291666666666665</v>
      </c>
      <c r="Q449" s="365">
        <v>0.72569444444444442</v>
      </c>
      <c r="R449" s="366">
        <f>IF(Table6[[#This Row],[Work Start TimeStamp]]="","",(Table6[[#This Row],[Work Start TimeStamp]]-Table6[[#This Row],[Fault Start TimeStamp]])*24)</f>
        <v>0</v>
      </c>
      <c r="S449" s="367">
        <f>(Table6[[#This Row],[Fault Clearance time]]-Table6[[#This Row],[Work Start TimeStamp]])*24</f>
        <v>6.0666666666666664</v>
      </c>
      <c r="T449" s="368">
        <f>(Table6[[#This Row],[Fault Clearance time]]-Table6[[#This Row],[Fault Start TimeStamp]])*24</f>
        <v>6.0666666666666664</v>
      </c>
      <c r="U449" s="364" t="s">
        <v>580</v>
      </c>
      <c r="V449" s="369" t="s">
        <v>463</v>
      </c>
      <c r="W449" s="354">
        <f>Table6[[#This Row],[Breakdown Time]]*(1/39)</f>
        <v>0.15555555555555553</v>
      </c>
      <c r="X449" s="352" t="s">
        <v>467</v>
      </c>
      <c r="Y449" s="370" t="s">
        <v>149</v>
      </c>
      <c r="Z449" s="121">
        <v>14847</v>
      </c>
      <c r="AA449" s="123">
        <v>3752.9916666666663</v>
      </c>
      <c r="AB449" s="121" t="s">
        <v>478</v>
      </c>
    </row>
    <row r="450" spans="1:28">
      <c r="A450" s="121">
        <f t="shared" si="6"/>
        <v>449</v>
      </c>
      <c r="B450" s="123">
        <f>YEAR(Table6[[#This Row],[Date]])+IF(MONTH(Table6[[#This Row],[Date]])&gt;=4,1,0)</f>
        <v>2026</v>
      </c>
      <c r="C450" s="121">
        <f>YEAR(Table6[[#This Row],[Date]])</f>
        <v>2025</v>
      </c>
      <c r="D450" s="121" t="s">
        <v>490</v>
      </c>
      <c r="E450" s="135">
        <f>Table6[[#This Row],[Date]]-DAY(Table6[[#This Row],[Date]])+1</f>
        <v>45778</v>
      </c>
      <c r="F450" s="134">
        <v>45780</v>
      </c>
      <c r="G450" s="121" t="s">
        <v>150</v>
      </c>
      <c r="H450" s="39" t="str">
        <f>_xlfn.XLOOKUP(Table6[[#This Row],[Affected WTG]],'Basic Data'!$A:$A,'Basic Data'!$B:$B)</f>
        <v>PWEGPL</v>
      </c>
      <c r="I450" s="39" t="str">
        <f>_xlfn.XLOOKUP(Table6[[#This Row],[Affected WTG]],'Basic Data'!$A:$A,'Basic Data'!$C:$C)</f>
        <v>MSEDCL</v>
      </c>
      <c r="J450" s="363">
        <f>IFERROR(VLOOKUP(Table6[[#This Row],[Affected WTG]],'Basic Data'!$A$3:$E$56,5,0),"")</f>
        <v>2.564102564102564E-2</v>
      </c>
      <c r="K450" s="121">
        <v>2118</v>
      </c>
      <c r="L450" s="39" t="str">
        <f>IFERROR(VLOOKUP(Table6[[#This Row],[Error Code]],'Basic Data'!$T:$U,2,0),"")</f>
        <v>Bus Error - Interbus Failure</v>
      </c>
      <c r="M450" s="364" t="s">
        <v>462</v>
      </c>
      <c r="O450" s="365">
        <v>0.55625000000000002</v>
      </c>
      <c r="P450" s="365">
        <v>0.60555555555555551</v>
      </c>
      <c r="Q450" s="365">
        <v>0.60763888888888884</v>
      </c>
      <c r="R450" s="366">
        <f>IF(Table6[[#This Row],[Work Start TimeStamp]]="","",(Table6[[#This Row],[Work Start TimeStamp]]-Table6[[#This Row],[Fault Start TimeStamp]])*24)</f>
        <v>1.1833333333333318</v>
      </c>
      <c r="S450" s="367">
        <f>(Table6[[#This Row],[Fault Clearance time]]-Table6[[#This Row],[Work Start TimeStamp]])*24</f>
        <v>4.9999999999999822E-2</v>
      </c>
      <c r="T450" s="368">
        <f>(Table6[[#This Row],[Fault Clearance time]]-Table6[[#This Row],[Fault Start TimeStamp]])*24</f>
        <v>1.2333333333333316</v>
      </c>
      <c r="U450" s="364" t="s">
        <v>491</v>
      </c>
      <c r="V450" s="369" t="s">
        <v>463</v>
      </c>
      <c r="W450" s="354">
        <f>Table6[[#This Row],[Breakdown Time]]*(1/39)</f>
        <v>3.1623931623931581E-2</v>
      </c>
      <c r="X450" s="352" t="s">
        <v>465</v>
      </c>
      <c r="Y450" s="370" t="s">
        <v>149</v>
      </c>
      <c r="Z450" s="121">
        <v>14847</v>
      </c>
      <c r="AA450" s="123">
        <v>762.97083333333228</v>
      </c>
      <c r="AB450" s="121" t="s">
        <v>478</v>
      </c>
    </row>
    <row r="451" spans="1:28">
      <c r="A451" s="121">
        <f t="shared" si="6"/>
        <v>450</v>
      </c>
      <c r="B451" s="123">
        <f>YEAR(Table6[[#This Row],[Date]])+IF(MONTH(Table6[[#This Row],[Date]])&gt;=4,1,0)</f>
        <v>2026</v>
      </c>
      <c r="C451" s="121">
        <f>YEAR(Table6[[#This Row],[Date]])</f>
        <v>2025</v>
      </c>
      <c r="D451" s="121" t="s">
        <v>490</v>
      </c>
      <c r="E451" s="135">
        <f>Table6[[#This Row],[Date]]-DAY(Table6[[#This Row],[Date]])+1</f>
        <v>45778</v>
      </c>
      <c r="F451" s="134">
        <v>45781</v>
      </c>
      <c r="G451" s="121" t="s">
        <v>144</v>
      </c>
      <c r="H451" s="39" t="str">
        <f>_xlfn.XLOOKUP(Table6[[#This Row],[Affected WTG]],'Basic Data'!$A:$A,'Basic Data'!$B:$B)</f>
        <v>PWEGPL</v>
      </c>
      <c r="I451" s="39" t="str">
        <f>_xlfn.XLOOKUP(Table6[[#This Row],[Affected WTG]],'Basic Data'!$A:$A,'Basic Data'!$C:$C)</f>
        <v>MSEDCL</v>
      </c>
      <c r="J451" s="363">
        <f>IFERROR(VLOOKUP(Table6[[#This Row],[Affected WTG]],'Basic Data'!$A$3:$E$56,5,0),"")</f>
        <v>2.564102564102564E-2</v>
      </c>
      <c r="K451" s="121" t="s">
        <v>492</v>
      </c>
      <c r="L451" s="39" t="str">
        <f>IFERROR(VLOOKUP(Table6[[#This Row],[Error Code]],'Basic Data'!$T:$U,2,0),"")</f>
        <v>Manual Stop - Safety Related</v>
      </c>
      <c r="M451" s="364" t="s">
        <v>481</v>
      </c>
      <c r="O451" s="365">
        <v>0</v>
      </c>
      <c r="P451" s="365">
        <v>0.99930555555555556</v>
      </c>
      <c r="Q451" s="365">
        <v>0.99930555555555556</v>
      </c>
      <c r="R451" s="366">
        <f>IF(Table6[[#This Row],[Work Start TimeStamp]]="","",(Table6[[#This Row],[Work Start TimeStamp]]-Table6[[#This Row],[Fault Start TimeStamp]])*24)</f>
        <v>23.983333333333334</v>
      </c>
      <c r="S451" s="367">
        <f>(Table6[[#This Row],[Fault Clearance time]]-Table6[[#This Row],[Work Start TimeStamp]])*24</f>
        <v>0</v>
      </c>
      <c r="T451" s="368">
        <f>(Table6[[#This Row],[Fault Clearance time]]-Table6[[#This Row],[Fault Start TimeStamp]])*24</f>
        <v>23.983333333333334</v>
      </c>
      <c r="U451" s="364" t="s">
        <v>498</v>
      </c>
      <c r="V451" s="369" t="s">
        <v>473</v>
      </c>
      <c r="W451" s="354">
        <f>Table6[[#This Row],[Breakdown Time]]*(1/39)</f>
        <v>0.61495726495726499</v>
      </c>
      <c r="X451" s="352" t="s">
        <v>468</v>
      </c>
      <c r="Y451" s="370" t="s">
        <v>141</v>
      </c>
      <c r="Z451" s="121">
        <v>11152</v>
      </c>
      <c r="AA451" s="123">
        <v>11144.255555555557</v>
      </c>
      <c r="AB451" s="121" t="s">
        <v>478</v>
      </c>
    </row>
    <row r="452" spans="1:28">
      <c r="A452" s="121">
        <f t="shared" ref="A452:A515" si="7">A451+1</f>
        <v>451</v>
      </c>
      <c r="B452" s="123">
        <f>YEAR(Table6[[#This Row],[Date]])+IF(MONTH(Table6[[#This Row],[Date]])&gt;=4,1,0)</f>
        <v>2026</v>
      </c>
      <c r="C452" s="121">
        <f>YEAR(Table6[[#This Row],[Date]])</f>
        <v>2025</v>
      </c>
      <c r="D452" s="121" t="s">
        <v>490</v>
      </c>
      <c r="E452" s="135">
        <f>Table6[[#This Row],[Date]]-DAY(Table6[[#This Row],[Date]])+1</f>
        <v>45778</v>
      </c>
      <c r="F452" s="134">
        <v>45781</v>
      </c>
      <c r="G452" s="121" t="s">
        <v>142</v>
      </c>
      <c r="H452" s="39" t="str">
        <f>_xlfn.XLOOKUP(Table6[[#This Row],[Affected WTG]],'Basic Data'!$A:$A,'Basic Data'!$B:$B)</f>
        <v>PWEGPL</v>
      </c>
      <c r="I452" s="39" t="str">
        <f>_xlfn.XLOOKUP(Table6[[#This Row],[Affected WTG]],'Basic Data'!$A:$A,'Basic Data'!$C:$C)</f>
        <v>MSEDCL</v>
      </c>
      <c r="J452" s="363">
        <f>IFERROR(VLOOKUP(Table6[[#This Row],[Affected WTG]],'Basic Data'!$A$3:$E$56,5,0),"")</f>
        <v>2.564102564102564E-2</v>
      </c>
      <c r="K452" s="121" t="s">
        <v>492</v>
      </c>
      <c r="L452" s="39" t="str">
        <f>IFERROR(VLOOKUP(Table6[[#This Row],[Error Code]],'Basic Data'!$T:$U,2,0),"")</f>
        <v>Manual Stop - Safety Related</v>
      </c>
      <c r="M452" s="364" t="s">
        <v>481</v>
      </c>
      <c r="O452" s="365">
        <v>0</v>
      </c>
      <c r="P452" s="365">
        <v>0.99930555555555556</v>
      </c>
      <c r="Q452" s="365">
        <v>0.99930555555555556</v>
      </c>
      <c r="R452" s="366">
        <f>IF(Table6[[#This Row],[Work Start TimeStamp]]="","",(Table6[[#This Row],[Work Start TimeStamp]]-Table6[[#This Row],[Fault Start TimeStamp]])*24)</f>
        <v>23.983333333333334</v>
      </c>
      <c r="S452" s="367">
        <f>(Table6[[#This Row],[Fault Clearance time]]-Table6[[#This Row],[Work Start TimeStamp]])*24</f>
        <v>0</v>
      </c>
      <c r="T452" s="368">
        <f>(Table6[[#This Row],[Fault Clearance time]]-Table6[[#This Row],[Fault Start TimeStamp]])*24</f>
        <v>23.983333333333334</v>
      </c>
      <c r="U452" s="364" t="s">
        <v>498</v>
      </c>
      <c r="V452" s="369" t="s">
        <v>473</v>
      </c>
      <c r="W452" s="354">
        <f>Table6[[#This Row],[Breakdown Time]]*(1/39)</f>
        <v>0.61495726495726499</v>
      </c>
      <c r="X452" s="352" t="s">
        <v>468</v>
      </c>
      <c r="Y452" s="370" t="s">
        <v>141</v>
      </c>
      <c r="Z452" s="121">
        <v>11152</v>
      </c>
      <c r="AA452" s="123">
        <v>11144.255555555557</v>
      </c>
      <c r="AB452" s="121" t="s">
        <v>478</v>
      </c>
    </row>
    <row r="453" spans="1:28">
      <c r="A453" s="121">
        <f t="shared" si="7"/>
        <v>452</v>
      </c>
      <c r="B453" s="123">
        <f>YEAR(Table6[[#This Row],[Date]])+IF(MONTH(Table6[[#This Row],[Date]])&gt;=4,1,0)</f>
        <v>2026</v>
      </c>
      <c r="C453" s="121">
        <f>YEAR(Table6[[#This Row],[Date]])</f>
        <v>2025</v>
      </c>
      <c r="D453" s="121" t="s">
        <v>490</v>
      </c>
      <c r="E453" s="135">
        <f>Table6[[#This Row],[Date]]-DAY(Table6[[#This Row],[Date]])+1</f>
        <v>45778</v>
      </c>
      <c r="F453" s="134">
        <v>45781</v>
      </c>
      <c r="G453" s="121" t="s">
        <v>126</v>
      </c>
      <c r="H453" s="39" t="str">
        <f>_xlfn.XLOOKUP(Table6[[#This Row],[Affected WTG]],'Basic Data'!$A:$A,'Basic Data'!$B:$B)</f>
        <v>PWEGPL</v>
      </c>
      <c r="I453" s="39" t="str">
        <f>_xlfn.XLOOKUP(Table6[[#This Row],[Affected WTG]],'Basic Data'!$A:$A,'Basic Data'!$C:$C)</f>
        <v>MSEDCL</v>
      </c>
      <c r="J453" s="363">
        <f>IFERROR(VLOOKUP(Table6[[#This Row],[Affected WTG]],'Basic Data'!$A$3:$E$56,5,0),"")</f>
        <v>2.564102564102564E-2</v>
      </c>
      <c r="K453" s="121">
        <v>203</v>
      </c>
      <c r="L453" s="39" t="str">
        <f>IFERROR(VLOOKUP(Table6[[#This Row],[Error Code]],'Basic Data'!$T:$U,2,0),"")</f>
        <v>Low Pressure On Hydraulic Group</v>
      </c>
      <c r="M453" s="364" t="s">
        <v>462</v>
      </c>
      <c r="O453" s="365">
        <v>0.5805555555555556</v>
      </c>
      <c r="P453" s="365">
        <v>0.59722222222222221</v>
      </c>
      <c r="Q453" s="365">
        <v>0.59791666666666665</v>
      </c>
      <c r="R453" s="366">
        <f>IF(Table6[[#This Row],[Work Start TimeStamp]]="","",(Table6[[#This Row],[Work Start TimeStamp]]-Table6[[#This Row],[Fault Start TimeStamp]])*24)</f>
        <v>0.39999999999999858</v>
      </c>
      <c r="S453" s="367">
        <f>(Table6[[#This Row],[Fault Clearance time]]-Table6[[#This Row],[Work Start TimeStamp]])*24</f>
        <v>1.6666666666666607E-2</v>
      </c>
      <c r="T453" s="368">
        <f>(Table6[[#This Row],[Fault Clearance time]]-Table6[[#This Row],[Fault Start TimeStamp]])*24</f>
        <v>0.41666666666666519</v>
      </c>
      <c r="U453" s="364" t="s">
        <v>493</v>
      </c>
      <c r="V453" s="369" t="s">
        <v>463</v>
      </c>
      <c r="W453" s="354">
        <f>Table6[[#This Row],[Breakdown Time]]*(1/39)</f>
        <v>1.0683760683760646E-2</v>
      </c>
      <c r="X453" s="352" t="s">
        <v>465</v>
      </c>
      <c r="Y453" s="370" t="s">
        <v>127</v>
      </c>
      <c r="Z453" s="121">
        <v>13578</v>
      </c>
      <c r="AA453" s="123">
        <v>235.72916666666583</v>
      </c>
      <c r="AB453" s="121" t="s">
        <v>478</v>
      </c>
    </row>
    <row r="454" spans="1:28">
      <c r="A454" s="121">
        <f t="shared" si="7"/>
        <v>453</v>
      </c>
      <c r="B454" s="123">
        <f>YEAR(Table6[[#This Row],[Date]])+IF(MONTH(Table6[[#This Row],[Date]])&gt;=4,1,0)</f>
        <v>2026</v>
      </c>
      <c r="C454" s="121">
        <f>YEAR(Table6[[#This Row],[Date]])</f>
        <v>2025</v>
      </c>
      <c r="D454" s="121" t="s">
        <v>490</v>
      </c>
      <c r="E454" s="135">
        <f>Table6[[#This Row],[Date]]-DAY(Table6[[#This Row],[Date]])+1</f>
        <v>45778</v>
      </c>
      <c r="F454" s="134">
        <v>45781</v>
      </c>
      <c r="G454" s="121" t="s">
        <v>136</v>
      </c>
      <c r="H454" s="39" t="str">
        <f>_xlfn.XLOOKUP(Table6[[#This Row],[Affected WTG]],'Basic Data'!$A:$A,'Basic Data'!$B:$B)</f>
        <v>PWEGPL</v>
      </c>
      <c r="I454" s="39" t="str">
        <f>_xlfn.XLOOKUP(Table6[[#This Row],[Affected WTG]],'Basic Data'!$A:$A,'Basic Data'!$C:$C)</f>
        <v>MSEDCL</v>
      </c>
      <c r="J454" s="363">
        <f>IFERROR(VLOOKUP(Table6[[#This Row],[Affected WTG]],'Basic Data'!$A$3:$E$56,5,0),"")</f>
        <v>2.564102564102564E-2</v>
      </c>
      <c r="K454" s="121">
        <v>813</v>
      </c>
      <c r="L454" s="39" t="str">
        <f>IFERROR(VLOOKUP(Table6[[#This Row],[Error Code]],'Basic Data'!$T:$U,2,0),"")</f>
        <v>Low Pressure Of Emergency Accumulators</v>
      </c>
      <c r="M454" s="364" t="s">
        <v>462</v>
      </c>
      <c r="O454" s="365">
        <v>0.75347222222222221</v>
      </c>
      <c r="P454" s="365">
        <v>0.77916666666666667</v>
      </c>
      <c r="Q454" s="365">
        <v>0.77986111111111112</v>
      </c>
      <c r="R454" s="366">
        <f>IF(Table6[[#This Row],[Work Start TimeStamp]]="","",(Table6[[#This Row],[Work Start TimeStamp]]-Table6[[#This Row],[Fault Start TimeStamp]])*24)</f>
        <v>0.61666666666666714</v>
      </c>
      <c r="S454" s="367">
        <f>(Table6[[#This Row],[Fault Clearance time]]-Table6[[#This Row],[Work Start TimeStamp]])*24</f>
        <v>1.6666666666666607E-2</v>
      </c>
      <c r="T454" s="368">
        <f>(Table6[[#This Row],[Fault Clearance time]]-Table6[[#This Row],[Fault Start TimeStamp]])*24</f>
        <v>0.63333333333333375</v>
      </c>
      <c r="U454" s="364" t="s">
        <v>493</v>
      </c>
      <c r="V454" s="369" t="s">
        <v>463</v>
      </c>
      <c r="W454" s="354">
        <f>Table6[[#This Row],[Breakdown Time]]*(1/39)</f>
        <v>1.6239316239316251E-2</v>
      </c>
      <c r="X454" s="352" t="s">
        <v>465</v>
      </c>
      <c r="Y454" s="370" t="s">
        <v>119</v>
      </c>
      <c r="Z454" s="121">
        <v>11167</v>
      </c>
      <c r="AA454" s="123">
        <v>294.68472222222243</v>
      </c>
      <c r="AB454" s="121" t="s">
        <v>478</v>
      </c>
    </row>
    <row r="455" spans="1:28">
      <c r="A455" s="121">
        <f t="shared" si="7"/>
        <v>454</v>
      </c>
      <c r="B455" s="123">
        <f>YEAR(Table6[[#This Row],[Date]])+IF(MONTH(Table6[[#This Row],[Date]])&gt;=4,1,0)</f>
        <v>2026</v>
      </c>
      <c r="C455" s="121">
        <f>YEAR(Table6[[#This Row],[Date]])</f>
        <v>2025</v>
      </c>
      <c r="D455" s="121" t="s">
        <v>490</v>
      </c>
      <c r="E455" s="135">
        <f>Table6[[#This Row],[Date]]-DAY(Table6[[#This Row],[Date]])+1</f>
        <v>45778</v>
      </c>
      <c r="F455" s="134">
        <v>45781</v>
      </c>
      <c r="G455" s="121" t="s">
        <v>139</v>
      </c>
      <c r="H455" s="39" t="str">
        <f>_xlfn.XLOOKUP(Table6[[#This Row],[Affected WTG]],'Basic Data'!$A:$A,'Basic Data'!$B:$B)</f>
        <v>PWEGPL</v>
      </c>
      <c r="I455" s="39" t="str">
        <f>_xlfn.XLOOKUP(Table6[[#This Row],[Affected WTG]],'Basic Data'!$A:$A,'Basic Data'!$C:$C)</f>
        <v>MSEDCL</v>
      </c>
      <c r="J455" s="363">
        <f>IFERROR(VLOOKUP(Table6[[#This Row],[Affected WTG]],'Basic Data'!$A$3:$E$56,5,0),"")</f>
        <v>2.564102564102564E-2</v>
      </c>
      <c r="K455" s="121" t="s">
        <v>466</v>
      </c>
      <c r="L455" s="39" t="str">
        <f>IFERROR(VLOOKUP(Table6[[#This Row],[Error Code]],'Basic Data'!$T:$U,2,0),"")</f>
        <v>Manual Stop</v>
      </c>
      <c r="M455" s="364" t="s">
        <v>479</v>
      </c>
      <c r="O455" s="365">
        <v>0.44791666666666669</v>
      </c>
      <c r="P455" s="365">
        <v>0.44791666666666669</v>
      </c>
      <c r="Q455" s="365">
        <v>0.99930555555555556</v>
      </c>
      <c r="R455" s="366">
        <f>IF(Table6[[#This Row],[Work Start TimeStamp]]="","",(Table6[[#This Row],[Work Start TimeStamp]]-Table6[[#This Row],[Fault Start TimeStamp]])*24)</f>
        <v>0</v>
      </c>
      <c r="S455" s="367">
        <f>(Table6[[#This Row],[Fault Clearance time]]-Table6[[#This Row],[Work Start TimeStamp]])*24</f>
        <v>13.233333333333334</v>
      </c>
      <c r="T455" s="368">
        <f>(Table6[[#This Row],[Fault Clearance time]]-Table6[[#This Row],[Fault Start TimeStamp]])*24</f>
        <v>13.233333333333334</v>
      </c>
      <c r="U455" s="364" t="s">
        <v>581</v>
      </c>
      <c r="V455" s="369" t="s">
        <v>473</v>
      </c>
      <c r="W455" s="354">
        <f>Table6[[#This Row],[Breakdown Time]]*(1/39)</f>
        <v>0.33931623931623933</v>
      </c>
      <c r="X455" s="352" t="s">
        <v>464</v>
      </c>
      <c r="Y455" s="370" t="s">
        <v>145</v>
      </c>
      <c r="Z455" s="121">
        <v>8752</v>
      </c>
      <c r="AA455" s="123">
        <v>4825.7555555555564</v>
      </c>
      <c r="AB455" s="121" t="s">
        <v>478</v>
      </c>
    </row>
    <row r="456" spans="1:28">
      <c r="A456" s="121">
        <f t="shared" si="7"/>
        <v>455</v>
      </c>
      <c r="B456" s="123">
        <f>YEAR(Table6[[#This Row],[Date]])+IF(MONTH(Table6[[#This Row],[Date]])&gt;=4,1,0)</f>
        <v>2026</v>
      </c>
      <c r="C456" s="121">
        <f>YEAR(Table6[[#This Row],[Date]])</f>
        <v>2025</v>
      </c>
      <c r="D456" s="121" t="s">
        <v>490</v>
      </c>
      <c r="E456" s="135">
        <f>Table6[[#This Row],[Date]]-DAY(Table6[[#This Row],[Date]])+1</f>
        <v>45778</v>
      </c>
      <c r="F456" s="134">
        <v>45781</v>
      </c>
      <c r="G456" s="121" t="s">
        <v>149</v>
      </c>
      <c r="H456" s="39" t="str">
        <f>_xlfn.XLOOKUP(Table6[[#This Row],[Affected WTG]],'Basic Data'!$A:$A,'Basic Data'!$B:$B)</f>
        <v>PWEGPL</v>
      </c>
      <c r="I456" s="39" t="str">
        <f>_xlfn.XLOOKUP(Table6[[#This Row],[Affected WTG]],'Basic Data'!$A:$A,'Basic Data'!$C:$C)</f>
        <v>MSEDCL</v>
      </c>
      <c r="J456" s="363">
        <f>IFERROR(VLOOKUP(Table6[[#This Row],[Affected WTG]],'Basic Data'!$A$3:$E$56,5,0),"")</f>
        <v>2.564102564102564E-2</v>
      </c>
      <c r="K456" s="121" t="s">
        <v>476</v>
      </c>
      <c r="L456" s="39" t="str">
        <f>IFERROR(VLOOKUP(Table6[[#This Row],[Error Code]],'Basic Data'!$T:$U,2,0),"")</f>
        <v>Manual Stop - Preventive Maintenance Activity</v>
      </c>
      <c r="M456" s="364" t="s">
        <v>474</v>
      </c>
      <c r="O456" s="365">
        <v>0.44097222222222221</v>
      </c>
      <c r="P456" s="365">
        <v>0.44097222222222221</v>
      </c>
      <c r="Q456" s="365">
        <v>0.71527777777777779</v>
      </c>
      <c r="R456" s="366">
        <f>IF(Table6[[#This Row],[Work Start TimeStamp]]="","",(Table6[[#This Row],[Work Start TimeStamp]]-Table6[[#This Row],[Fault Start TimeStamp]])*24)</f>
        <v>0</v>
      </c>
      <c r="S456" s="367">
        <f>(Table6[[#This Row],[Fault Clearance time]]-Table6[[#This Row],[Work Start TimeStamp]])*24</f>
        <v>6.5833333333333339</v>
      </c>
      <c r="T456" s="368">
        <f>(Table6[[#This Row],[Fault Clearance time]]-Table6[[#This Row],[Fault Start TimeStamp]])*24</f>
        <v>6.5833333333333339</v>
      </c>
      <c r="U456" s="374" t="s">
        <v>582</v>
      </c>
      <c r="V456" s="369" t="s">
        <v>463</v>
      </c>
      <c r="W456" s="354">
        <f>Table6[[#This Row],[Breakdown Time]]*(1/39)</f>
        <v>0.16880341880341881</v>
      </c>
      <c r="X456" s="352" t="s">
        <v>467</v>
      </c>
      <c r="Y456" s="370" t="s">
        <v>150</v>
      </c>
      <c r="Z456" s="121">
        <v>8759</v>
      </c>
      <c r="AA456" s="123">
        <v>2402.6423611111113</v>
      </c>
      <c r="AB456" s="121" t="s">
        <v>478</v>
      </c>
    </row>
    <row r="457" spans="1:28">
      <c r="A457" s="121">
        <f t="shared" si="7"/>
        <v>456</v>
      </c>
      <c r="B457" s="123">
        <f>YEAR(Table6[[#This Row],[Date]])+IF(MONTH(Table6[[#This Row],[Date]])&gt;=4,1,0)</f>
        <v>2026</v>
      </c>
      <c r="C457" s="121">
        <f>YEAR(Table6[[#This Row],[Date]])</f>
        <v>2025</v>
      </c>
      <c r="D457" s="121" t="s">
        <v>490</v>
      </c>
      <c r="E457" s="135">
        <f>Table6[[#This Row],[Date]]-DAY(Table6[[#This Row],[Date]])+1</f>
        <v>45778</v>
      </c>
      <c r="F457" s="134">
        <v>45782</v>
      </c>
      <c r="G457" s="121" t="s">
        <v>144</v>
      </c>
      <c r="H457" s="39" t="str">
        <f>_xlfn.XLOOKUP(Table6[[#This Row],[Affected WTG]],'Basic Data'!$A:$A,'Basic Data'!$B:$B)</f>
        <v>PWEGPL</v>
      </c>
      <c r="I457" s="39" t="str">
        <f>_xlfn.XLOOKUP(Table6[[#This Row],[Affected WTG]],'Basic Data'!$A:$A,'Basic Data'!$C:$C)</f>
        <v>MSEDCL</v>
      </c>
      <c r="J457" s="363">
        <f>IFERROR(VLOOKUP(Table6[[#This Row],[Affected WTG]],'Basic Data'!$A$3:$E$56,5,0),"")</f>
        <v>2.564102564102564E-2</v>
      </c>
      <c r="K457" s="121" t="s">
        <v>492</v>
      </c>
      <c r="L457" s="39" t="str">
        <f>IFERROR(VLOOKUP(Table6[[#This Row],[Error Code]],'Basic Data'!$T:$U,2,0),"")</f>
        <v>Manual Stop - Safety Related</v>
      </c>
      <c r="M457" s="364" t="s">
        <v>481</v>
      </c>
      <c r="O457" s="365">
        <v>0</v>
      </c>
      <c r="P457" s="365">
        <v>0.99930555555555556</v>
      </c>
      <c r="Q457" s="365">
        <v>0.99930555555555556</v>
      </c>
      <c r="R457" s="366">
        <f>IF(Table6[[#This Row],[Work Start TimeStamp]]="","",(Table6[[#This Row],[Work Start TimeStamp]]-Table6[[#This Row],[Fault Start TimeStamp]])*24)</f>
        <v>23.983333333333334</v>
      </c>
      <c r="S457" s="367">
        <f>(Table6[[#This Row],[Fault Clearance time]]-Table6[[#This Row],[Work Start TimeStamp]])*24</f>
        <v>0</v>
      </c>
      <c r="T457" s="368">
        <f>(Table6[[#This Row],[Fault Clearance time]]-Table6[[#This Row],[Fault Start TimeStamp]])*24</f>
        <v>23.983333333333334</v>
      </c>
      <c r="U457" s="374" t="s">
        <v>498</v>
      </c>
      <c r="V457" s="369" t="s">
        <v>473</v>
      </c>
      <c r="W457" s="354">
        <f>Table6[[#This Row],[Breakdown Time]]*(1/39)</f>
        <v>0.61495726495726499</v>
      </c>
      <c r="X457" s="352" t="s">
        <v>468</v>
      </c>
      <c r="Y457" s="370" t="s">
        <v>141</v>
      </c>
      <c r="Z457" s="121">
        <v>7756</v>
      </c>
      <c r="AA457" s="123">
        <v>7750.61388888889</v>
      </c>
      <c r="AB457" s="121" t="s">
        <v>478</v>
      </c>
    </row>
    <row r="458" spans="1:28">
      <c r="A458" s="121">
        <f t="shared" si="7"/>
        <v>457</v>
      </c>
      <c r="B458" s="123">
        <f>YEAR(Table6[[#This Row],[Date]])+IF(MONTH(Table6[[#This Row],[Date]])&gt;=4,1,0)</f>
        <v>2026</v>
      </c>
      <c r="C458" s="121">
        <f>YEAR(Table6[[#This Row],[Date]])</f>
        <v>2025</v>
      </c>
      <c r="D458" s="121" t="s">
        <v>490</v>
      </c>
      <c r="E458" s="135">
        <f>Table6[[#This Row],[Date]]-DAY(Table6[[#This Row],[Date]])+1</f>
        <v>45778</v>
      </c>
      <c r="F458" s="134">
        <v>45782</v>
      </c>
      <c r="G458" s="121" t="s">
        <v>142</v>
      </c>
      <c r="H458" s="39" t="str">
        <f>_xlfn.XLOOKUP(Table6[[#This Row],[Affected WTG]],'Basic Data'!$A:$A,'Basic Data'!$B:$B)</f>
        <v>PWEGPL</v>
      </c>
      <c r="I458" s="39" t="str">
        <f>_xlfn.XLOOKUP(Table6[[#This Row],[Affected WTG]],'Basic Data'!$A:$A,'Basic Data'!$C:$C)</f>
        <v>MSEDCL</v>
      </c>
      <c r="J458" s="363">
        <f>IFERROR(VLOOKUP(Table6[[#This Row],[Affected WTG]],'Basic Data'!$A$3:$E$56,5,0),"")</f>
        <v>2.564102564102564E-2</v>
      </c>
      <c r="K458" s="121" t="s">
        <v>492</v>
      </c>
      <c r="L458" s="39" t="str">
        <f>IFERROR(VLOOKUP(Table6[[#This Row],[Error Code]],'Basic Data'!$T:$U,2,0),"")</f>
        <v>Manual Stop - Safety Related</v>
      </c>
      <c r="M458" s="364" t="s">
        <v>481</v>
      </c>
      <c r="O458" s="365">
        <v>0</v>
      </c>
      <c r="P458" s="365">
        <v>0.99930555555555556</v>
      </c>
      <c r="Q458" s="365">
        <v>0.99930555555555556</v>
      </c>
      <c r="R458" s="366">
        <f>IF(Table6[[#This Row],[Work Start TimeStamp]]="","",(Table6[[#This Row],[Work Start TimeStamp]]-Table6[[#This Row],[Fault Start TimeStamp]])*24)</f>
        <v>23.983333333333334</v>
      </c>
      <c r="S458" s="367">
        <f>(Table6[[#This Row],[Fault Clearance time]]-Table6[[#This Row],[Work Start TimeStamp]])*24</f>
        <v>0</v>
      </c>
      <c r="T458" s="368">
        <f>(Table6[[#This Row],[Fault Clearance time]]-Table6[[#This Row],[Fault Start TimeStamp]])*24</f>
        <v>23.983333333333334</v>
      </c>
      <c r="U458" s="364" t="s">
        <v>498</v>
      </c>
      <c r="V458" s="369" t="s">
        <v>473</v>
      </c>
      <c r="W458" s="354">
        <f>Table6[[#This Row],[Breakdown Time]]*(1/39)</f>
        <v>0.61495726495726499</v>
      </c>
      <c r="X458" s="352" t="s">
        <v>468</v>
      </c>
      <c r="Y458" s="370" t="s">
        <v>141</v>
      </c>
      <c r="Z458" s="121">
        <v>7756</v>
      </c>
      <c r="AA458" s="123">
        <v>7750.61388888889</v>
      </c>
      <c r="AB458" s="121" t="s">
        <v>478</v>
      </c>
    </row>
    <row r="459" spans="1:28">
      <c r="A459" s="121">
        <f t="shared" si="7"/>
        <v>458</v>
      </c>
      <c r="B459" s="123">
        <f>YEAR(Table6[[#This Row],[Date]])+IF(MONTH(Table6[[#This Row],[Date]])&gt;=4,1,0)</f>
        <v>2026</v>
      </c>
      <c r="C459" s="121">
        <f>YEAR(Table6[[#This Row],[Date]])</f>
        <v>2025</v>
      </c>
      <c r="D459" s="121" t="s">
        <v>490</v>
      </c>
      <c r="E459" s="135">
        <f>Table6[[#This Row],[Date]]-DAY(Table6[[#This Row],[Date]])+1</f>
        <v>45778</v>
      </c>
      <c r="F459" s="134">
        <v>45782</v>
      </c>
      <c r="G459" s="121" t="s">
        <v>115</v>
      </c>
      <c r="H459" s="39" t="str">
        <f>_xlfn.XLOOKUP(Table6[[#This Row],[Affected WTG]],'Basic Data'!$A:$A,'Basic Data'!$B:$B)</f>
        <v>PWEGPL</v>
      </c>
      <c r="I459" s="39" t="str">
        <f>_xlfn.XLOOKUP(Table6[[#This Row],[Affected WTG]],'Basic Data'!$A:$A,'Basic Data'!$C:$C)</f>
        <v>MSEDCL</v>
      </c>
      <c r="J459" s="363">
        <f>IFERROR(VLOOKUP(Table6[[#This Row],[Affected WTG]],'Basic Data'!$A$3:$E$56,5,0),"")</f>
        <v>2.564102564102564E-2</v>
      </c>
      <c r="K459" s="121" t="s">
        <v>466</v>
      </c>
      <c r="L459" s="39" t="str">
        <f>IFERROR(VLOOKUP(Table6[[#This Row],[Error Code]],'Basic Data'!$T:$U,2,0),"")</f>
        <v>Manual Stop</v>
      </c>
      <c r="M459" s="364" t="s">
        <v>479</v>
      </c>
      <c r="O459" s="365">
        <v>0.40416666666666667</v>
      </c>
      <c r="P459" s="365">
        <v>0.40416666666666667</v>
      </c>
      <c r="Q459" s="365">
        <v>0.71458333333333335</v>
      </c>
      <c r="R459" s="366">
        <f>IF(Table6[[#This Row],[Work Start TimeStamp]]="","",(Table6[[#This Row],[Work Start TimeStamp]]-Table6[[#This Row],[Fault Start TimeStamp]])*24)</f>
        <v>0</v>
      </c>
      <c r="S459" s="367">
        <f>(Table6[[#This Row],[Fault Clearance time]]-Table6[[#This Row],[Work Start TimeStamp]])*24</f>
        <v>7.45</v>
      </c>
      <c r="T459" s="368">
        <f>(Table6[[#This Row],[Fault Clearance time]]-Table6[[#This Row],[Fault Start TimeStamp]])*24</f>
        <v>7.45</v>
      </c>
      <c r="U459" s="364" t="s">
        <v>513</v>
      </c>
      <c r="V459" s="369" t="s">
        <v>463</v>
      </c>
      <c r="W459" s="354">
        <f>Table6[[#This Row],[Breakdown Time]]*(1/39)</f>
        <v>0.19102564102564101</v>
      </c>
      <c r="X459" s="352" t="s">
        <v>464</v>
      </c>
      <c r="Y459" s="370" t="s">
        <v>121</v>
      </c>
      <c r="Z459" s="121">
        <v>8346</v>
      </c>
      <c r="AA459" s="123">
        <v>2590.7375000000002</v>
      </c>
      <c r="AB459" s="121" t="s">
        <v>478</v>
      </c>
    </row>
    <row r="460" spans="1:28">
      <c r="A460" s="121">
        <f t="shared" si="7"/>
        <v>459</v>
      </c>
      <c r="B460" s="123">
        <f>YEAR(Table6[[#This Row],[Date]])+IF(MONTH(Table6[[#This Row],[Date]])&gt;=4,1,0)</f>
        <v>2026</v>
      </c>
      <c r="C460" s="121">
        <f>YEAR(Table6[[#This Row],[Date]])</f>
        <v>2025</v>
      </c>
      <c r="D460" s="121" t="s">
        <v>490</v>
      </c>
      <c r="E460" s="135">
        <f>Table6[[#This Row],[Date]]-DAY(Table6[[#This Row],[Date]])+1</f>
        <v>45778</v>
      </c>
      <c r="F460" s="134">
        <v>45782</v>
      </c>
      <c r="G460" s="121" t="s">
        <v>119</v>
      </c>
      <c r="H460" s="39" t="str">
        <f>_xlfn.XLOOKUP(Table6[[#This Row],[Affected WTG]],'Basic Data'!$A:$A,'Basic Data'!$B:$B)</f>
        <v>PWEGPL</v>
      </c>
      <c r="I460" s="39" t="str">
        <f>_xlfn.XLOOKUP(Table6[[#This Row],[Affected WTG]],'Basic Data'!$A:$A,'Basic Data'!$C:$C)</f>
        <v>MSEDCL</v>
      </c>
      <c r="J460" s="363">
        <f>IFERROR(VLOOKUP(Table6[[#This Row],[Affected WTG]],'Basic Data'!$A$3:$E$56,5,0),"")</f>
        <v>2.564102564102564E-2</v>
      </c>
      <c r="K460" s="121" t="s">
        <v>466</v>
      </c>
      <c r="L460" s="39" t="str">
        <f>IFERROR(VLOOKUP(Table6[[#This Row],[Error Code]],'Basic Data'!$T:$U,2,0),"")</f>
        <v>Manual Stop</v>
      </c>
      <c r="M460" s="364" t="s">
        <v>507</v>
      </c>
      <c r="O460" s="365">
        <v>0.70902777777777781</v>
      </c>
      <c r="P460" s="365">
        <v>0.70902777777777781</v>
      </c>
      <c r="Q460" s="365">
        <v>0.75347222222222221</v>
      </c>
      <c r="R460" s="366">
        <f>IF(Table6[[#This Row],[Work Start TimeStamp]]="","",(Table6[[#This Row],[Work Start TimeStamp]]-Table6[[#This Row],[Fault Start TimeStamp]])*24)</f>
        <v>0</v>
      </c>
      <c r="S460" s="367">
        <f>(Table6[[#This Row],[Fault Clearance time]]-Table6[[#This Row],[Work Start TimeStamp]])*24</f>
        <v>1.0666666666666655</v>
      </c>
      <c r="T460" s="368">
        <f>(Table6[[#This Row],[Fault Clearance time]]-Table6[[#This Row],[Fault Start TimeStamp]])*24</f>
        <v>1.0666666666666655</v>
      </c>
      <c r="U460" s="364" t="s">
        <v>583</v>
      </c>
      <c r="V460" s="369" t="s">
        <v>463</v>
      </c>
      <c r="W460" s="354">
        <f>Table6[[#This Row],[Breakdown Time]]*(1/39)</f>
        <v>2.7350427350427319E-2</v>
      </c>
      <c r="X460" s="352" t="s">
        <v>464</v>
      </c>
      <c r="Y460" s="370" t="s">
        <v>136</v>
      </c>
      <c r="Z460" s="121">
        <v>6524</v>
      </c>
      <c r="AA460" s="123">
        <v>289.95555555555524</v>
      </c>
      <c r="AB460" s="121" t="s">
        <v>478</v>
      </c>
    </row>
    <row r="461" spans="1:28">
      <c r="A461" s="121">
        <f t="shared" si="7"/>
        <v>460</v>
      </c>
      <c r="B461" s="123">
        <f>YEAR(Table6[[#This Row],[Date]])+IF(MONTH(Table6[[#This Row],[Date]])&gt;=4,1,0)</f>
        <v>2026</v>
      </c>
      <c r="C461" s="121">
        <f>YEAR(Table6[[#This Row],[Date]])</f>
        <v>2025</v>
      </c>
      <c r="D461" s="121" t="s">
        <v>490</v>
      </c>
      <c r="E461" s="135">
        <f>Table6[[#This Row],[Date]]-DAY(Table6[[#This Row],[Date]])+1</f>
        <v>45778</v>
      </c>
      <c r="F461" s="134">
        <v>45782</v>
      </c>
      <c r="G461" s="121" t="s">
        <v>126</v>
      </c>
      <c r="H461" s="39" t="str">
        <f>_xlfn.XLOOKUP(Table6[[#This Row],[Affected WTG]],'Basic Data'!$A:$A,'Basic Data'!$B:$B)</f>
        <v>PWEGPL</v>
      </c>
      <c r="I461" s="39" t="str">
        <f>_xlfn.XLOOKUP(Table6[[#This Row],[Affected WTG]],'Basic Data'!$A:$A,'Basic Data'!$C:$C)</f>
        <v>MSEDCL</v>
      </c>
      <c r="J461" s="363">
        <f>IFERROR(VLOOKUP(Table6[[#This Row],[Affected WTG]],'Basic Data'!$A$3:$E$56,5,0),"")</f>
        <v>2.564102564102564E-2</v>
      </c>
      <c r="K461" s="121">
        <v>203</v>
      </c>
      <c r="L461" s="39" t="str">
        <f>IFERROR(VLOOKUP(Table6[[#This Row],[Error Code]],'Basic Data'!$T:$U,2,0),"")</f>
        <v>Low Pressure On Hydraulic Group</v>
      </c>
      <c r="M461" s="364" t="s">
        <v>462</v>
      </c>
      <c r="O461" s="365">
        <v>0.71388888888888891</v>
      </c>
      <c r="P461" s="365">
        <v>0.73611111111111116</v>
      </c>
      <c r="Q461" s="365">
        <v>0.7368055555555556</v>
      </c>
      <c r="R461" s="366">
        <f>IF(Table6[[#This Row],[Work Start TimeStamp]]="","",(Table6[[#This Row],[Work Start TimeStamp]]-Table6[[#This Row],[Fault Start TimeStamp]])*24)</f>
        <v>0.5333333333333341</v>
      </c>
      <c r="S461" s="367">
        <f>(Table6[[#This Row],[Fault Clearance time]]-Table6[[#This Row],[Work Start TimeStamp]])*24</f>
        <v>1.6666666666666607E-2</v>
      </c>
      <c r="T461" s="368">
        <f>(Table6[[#This Row],[Fault Clearance time]]-Table6[[#This Row],[Fault Start TimeStamp]])*24</f>
        <v>0.55000000000000071</v>
      </c>
      <c r="U461" s="364" t="s">
        <v>493</v>
      </c>
      <c r="V461" s="369" t="s">
        <v>463</v>
      </c>
      <c r="W461" s="354">
        <f>Table6[[#This Row],[Breakdown Time]]*(1/39)</f>
        <v>1.410256410256412E-2</v>
      </c>
      <c r="X461" s="352" t="s">
        <v>465</v>
      </c>
      <c r="Y461" s="370" t="s">
        <v>123</v>
      </c>
      <c r="Z461" s="121">
        <v>8289</v>
      </c>
      <c r="AA461" s="123">
        <v>189.95625000000024</v>
      </c>
      <c r="AB461" s="121" t="s">
        <v>478</v>
      </c>
    </row>
    <row r="462" spans="1:28">
      <c r="A462" s="121">
        <f t="shared" si="7"/>
        <v>461</v>
      </c>
      <c r="B462" s="123">
        <f>YEAR(Table6[[#This Row],[Date]])+IF(MONTH(Table6[[#This Row],[Date]])&gt;=4,1,0)</f>
        <v>2026</v>
      </c>
      <c r="C462" s="121">
        <f>YEAR(Table6[[#This Row],[Date]])</f>
        <v>2025</v>
      </c>
      <c r="D462" s="121" t="s">
        <v>490</v>
      </c>
      <c r="E462" s="135">
        <f>Table6[[#This Row],[Date]]-DAY(Table6[[#This Row],[Date]])+1</f>
        <v>45778</v>
      </c>
      <c r="F462" s="134">
        <v>45782</v>
      </c>
      <c r="G462" s="121" t="s">
        <v>128</v>
      </c>
      <c r="H462" s="39" t="str">
        <f>_xlfn.XLOOKUP(Table6[[#This Row],[Affected WTG]],'Basic Data'!$A:$A,'Basic Data'!$B:$B)</f>
        <v>PWEGPL</v>
      </c>
      <c r="I462" s="39" t="str">
        <f>_xlfn.XLOOKUP(Table6[[#This Row],[Affected WTG]],'Basic Data'!$A:$A,'Basic Data'!$C:$C)</f>
        <v>MSEDCL</v>
      </c>
      <c r="J462" s="363">
        <f>IFERROR(VLOOKUP(Table6[[#This Row],[Affected WTG]],'Basic Data'!$A$3:$E$56,5,0),"")</f>
        <v>2.564102564102564E-2</v>
      </c>
      <c r="K462" s="121">
        <v>2118</v>
      </c>
      <c r="L462" s="39" t="str">
        <f>IFERROR(VLOOKUP(Table6[[#This Row],[Error Code]],'Basic Data'!$T:$U,2,0),"")</f>
        <v>Bus Error - Interbus Failure</v>
      </c>
      <c r="M462" s="364" t="s">
        <v>462</v>
      </c>
      <c r="O462" s="365">
        <v>0.71180555555555558</v>
      </c>
      <c r="P462" s="365">
        <v>0.72916666666666663</v>
      </c>
      <c r="Q462" s="365">
        <v>0.72986111111111107</v>
      </c>
      <c r="R462" s="366">
        <f>IF(Table6[[#This Row],[Work Start TimeStamp]]="","",(Table6[[#This Row],[Work Start TimeStamp]]-Table6[[#This Row],[Fault Start TimeStamp]])*24)</f>
        <v>0.41666666666666519</v>
      </c>
      <c r="S462" s="367">
        <f>(Table6[[#This Row],[Fault Clearance time]]-Table6[[#This Row],[Work Start TimeStamp]])*24</f>
        <v>1.6666666666666607E-2</v>
      </c>
      <c r="T462" s="368">
        <f>(Table6[[#This Row],[Fault Clearance time]]-Table6[[#This Row],[Fault Start TimeStamp]])*24</f>
        <v>0.43333333333333179</v>
      </c>
      <c r="U462" s="364" t="s">
        <v>493</v>
      </c>
      <c r="V462" s="369" t="s">
        <v>463</v>
      </c>
      <c r="W462" s="354">
        <f>Table6[[#This Row],[Breakdown Time]]*(1/39)</f>
        <v>1.1111111111111072E-2</v>
      </c>
      <c r="X462" s="352" t="s">
        <v>465</v>
      </c>
      <c r="Y462" s="370" t="s">
        <v>129</v>
      </c>
      <c r="Z462" s="121">
        <v>8256</v>
      </c>
      <c r="AA462" s="123">
        <v>149.06666666666615</v>
      </c>
      <c r="AB462" s="121" t="s">
        <v>478</v>
      </c>
    </row>
    <row r="463" spans="1:28">
      <c r="A463" s="121">
        <f t="shared" si="7"/>
        <v>462</v>
      </c>
      <c r="B463" s="123">
        <f>YEAR(Table6[[#This Row],[Date]])+IF(MONTH(Table6[[#This Row],[Date]])&gt;=4,1,0)</f>
        <v>2026</v>
      </c>
      <c r="C463" s="121">
        <f>YEAR(Table6[[#This Row],[Date]])</f>
        <v>2025</v>
      </c>
      <c r="D463" s="121" t="s">
        <v>490</v>
      </c>
      <c r="E463" s="135">
        <f>Table6[[#This Row],[Date]]-DAY(Table6[[#This Row],[Date]])+1</f>
        <v>45778</v>
      </c>
      <c r="F463" s="134">
        <v>45782</v>
      </c>
      <c r="G463" s="121" t="s">
        <v>135</v>
      </c>
      <c r="H463" s="39" t="str">
        <f>_xlfn.XLOOKUP(Table6[[#This Row],[Affected WTG]],'Basic Data'!$A:$A,'Basic Data'!$B:$B)</f>
        <v>PWEGPL</v>
      </c>
      <c r="I463" s="39" t="str">
        <f>_xlfn.XLOOKUP(Table6[[#This Row],[Affected WTG]],'Basic Data'!$A:$A,'Basic Data'!$C:$C)</f>
        <v>MSEDCL</v>
      </c>
      <c r="J463" s="363">
        <f>IFERROR(VLOOKUP(Table6[[#This Row],[Affected WTG]],'Basic Data'!$A$3:$E$56,5,0),"")</f>
        <v>2.564102564102564E-2</v>
      </c>
      <c r="K463" s="121" t="s">
        <v>466</v>
      </c>
      <c r="L463" s="39" t="str">
        <f>IFERROR(VLOOKUP(Table6[[#This Row],[Error Code]],'Basic Data'!$T:$U,2,0),"")</f>
        <v>Manual Stop</v>
      </c>
      <c r="M463" s="364" t="s">
        <v>507</v>
      </c>
      <c r="O463" s="365">
        <v>0.5</v>
      </c>
      <c r="P463" s="365">
        <v>0.5</v>
      </c>
      <c r="Q463" s="365">
        <v>0.51666666666666672</v>
      </c>
      <c r="R463" s="366">
        <f>IF(Table6[[#This Row],[Work Start TimeStamp]]="","",(Table6[[#This Row],[Work Start TimeStamp]]-Table6[[#This Row],[Fault Start TimeStamp]])*24)</f>
        <v>0</v>
      </c>
      <c r="S463" s="367">
        <f>(Table6[[#This Row],[Fault Clearance time]]-Table6[[#This Row],[Work Start TimeStamp]])*24</f>
        <v>0.40000000000000124</v>
      </c>
      <c r="T463" s="368">
        <f>(Table6[[#This Row],[Fault Clearance time]]-Table6[[#This Row],[Fault Start TimeStamp]])*24</f>
        <v>0.40000000000000124</v>
      </c>
      <c r="U463" s="364" t="s">
        <v>583</v>
      </c>
      <c r="V463" s="369" t="s">
        <v>463</v>
      </c>
      <c r="W463" s="354">
        <f>Table6[[#This Row],[Breakdown Time]]*(1/39)</f>
        <v>1.0256410256410288E-2</v>
      </c>
      <c r="X463" s="352" t="s">
        <v>464</v>
      </c>
      <c r="Y463" s="370" t="s">
        <v>136</v>
      </c>
      <c r="Z463" s="121">
        <v>6524</v>
      </c>
      <c r="AA463" s="123">
        <v>108.73333333333366</v>
      </c>
      <c r="AB463" s="121" t="s">
        <v>478</v>
      </c>
    </row>
    <row r="464" spans="1:28">
      <c r="A464" s="121">
        <f t="shared" si="7"/>
        <v>463</v>
      </c>
      <c r="B464" s="123">
        <f>YEAR(Table6[[#This Row],[Date]])+IF(MONTH(Table6[[#This Row],[Date]])&gt;=4,1,0)</f>
        <v>2026</v>
      </c>
      <c r="C464" s="121">
        <f>YEAR(Table6[[#This Row],[Date]])</f>
        <v>2025</v>
      </c>
      <c r="D464" s="121" t="s">
        <v>490</v>
      </c>
      <c r="E464" s="135">
        <f>Table6[[#This Row],[Date]]-DAY(Table6[[#This Row],[Date]])+1</f>
        <v>45778</v>
      </c>
      <c r="F464" s="134">
        <v>45782</v>
      </c>
      <c r="G464" s="121" t="s">
        <v>136</v>
      </c>
      <c r="H464" s="39" t="str">
        <f>_xlfn.XLOOKUP(Table6[[#This Row],[Affected WTG]],'Basic Data'!$A:$A,'Basic Data'!$B:$B)</f>
        <v>PWEGPL</v>
      </c>
      <c r="I464" s="39" t="str">
        <f>_xlfn.XLOOKUP(Table6[[#This Row],[Affected WTG]],'Basic Data'!$A:$A,'Basic Data'!$C:$C)</f>
        <v>MSEDCL</v>
      </c>
      <c r="J464" s="363">
        <f>IFERROR(VLOOKUP(Table6[[#This Row],[Affected WTG]],'Basic Data'!$A$3:$E$56,5,0),"")</f>
        <v>2.564102564102564E-2</v>
      </c>
      <c r="K464" s="121" t="s">
        <v>466</v>
      </c>
      <c r="L464" s="39" t="str">
        <f>IFERROR(VLOOKUP(Table6[[#This Row],[Error Code]],'Basic Data'!$T:$U,2,0),"")</f>
        <v>Manual Stop</v>
      </c>
      <c r="M464" s="364" t="s">
        <v>507</v>
      </c>
      <c r="O464" s="365">
        <v>0.52569444444444446</v>
      </c>
      <c r="P464" s="365">
        <v>0.52569444444444446</v>
      </c>
      <c r="Q464" s="365">
        <v>0.55555555555555558</v>
      </c>
      <c r="R464" s="366">
        <f>IF(Table6[[#This Row],[Work Start TimeStamp]]="","",(Table6[[#This Row],[Work Start TimeStamp]]-Table6[[#This Row],[Fault Start TimeStamp]])*24)</f>
        <v>0</v>
      </c>
      <c r="S464" s="367">
        <f>(Table6[[#This Row],[Fault Clearance time]]-Table6[[#This Row],[Work Start TimeStamp]])*24</f>
        <v>0.71666666666666679</v>
      </c>
      <c r="T464" s="368">
        <f>(Table6[[#This Row],[Fault Clearance time]]-Table6[[#This Row],[Fault Start TimeStamp]])*24</f>
        <v>0.71666666666666679</v>
      </c>
      <c r="U464" s="364" t="s">
        <v>583</v>
      </c>
      <c r="V464" s="369" t="s">
        <v>463</v>
      </c>
      <c r="W464" s="354">
        <f>Table6[[#This Row],[Breakdown Time]]*(1/39)</f>
        <v>1.837606837606838E-2</v>
      </c>
      <c r="X464" s="352" t="s">
        <v>464</v>
      </c>
      <c r="Y464" s="370" t="s">
        <v>119</v>
      </c>
      <c r="Z464" s="121">
        <v>6500</v>
      </c>
      <c r="AA464" s="123">
        <v>194.09722222222223</v>
      </c>
      <c r="AB464" s="121" t="s">
        <v>478</v>
      </c>
    </row>
    <row r="465" spans="1:28">
      <c r="A465" s="121">
        <f t="shared" si="7"/>
        <v>464</v>
      </c>
      <c r="B465" s="123">
        <f>YEAR(Table6[[#This Row],[Date]])+IF(MONTH(Table6[[#This Row],[Date]])&gt;=4,1,0)</f>
        <v>2026</v>
      </c>
      <c r="C465" s="121">
        <f>YEAR(Table6[[#This Row],[Date]])</f>
        <v>2025</v>
      </c>
      <c r="D465" s="121" t="s">
        <v>490</v>
      </c>
      <c r="E465" s="135">
        <f>Table6[[#This Row],[Date]]-DAY(Table6[[#This Row],[Date]])+1</f>
        <v>45778</v>
      </c>
      <c r="F465" s="134">
        <v>45782</v>
      </c>
      <c r="G465" s="121" t="s">
        <v>139</v>
      </c>
      <c r="H465" s="39" t="str">
        <f>_xlfn.XLOOKUP(Table6[[#This Row],[Affected WTG]],'Basic Data'!$A:$A,'Basic Data'!$B:$B)</f>
        <v>PWEGPL</v>
      </c>
      <c r="I465" s="39" t="str">
        <f>_xlfn.XLOOKUP(Table6[[#This Row],[Affected WTG]],'Basic Data'!$A:$A,'Basic Data'!$C:$C)</f>
        <v>MSEDCL</v>
      </c>
      <c r="J465" s="363">
        <f>IFERROR(VLOOKUP(Table6[[#This Row],[Affected WTG]],'Basic Data'!$A$3:$E$56,5,0),"")</f>
        <v>2.564102564102564E-2</v>
      </c>
      <c r="K465" s="121" t="s">
        <v>466</v>
      </c>
      <c r="L465" s="39" t="str">
        <f>IFERROR(VLOOKUP(Table6[[#This Row],[Error Code]],'Basic Data'!$T:$U,2,0),"")</f>
        <v>Manual Stop</v>
      </c>
      <c r="M465" s="364" t="s">
        <v>479</v>
      </c>
      <c r="O465" s="365">
        <v>0</v>
      </c>
      <c r="P465" s="365">
        <v>0</v>
      </c>
      <c r="Q465" s="365">
        <v>0.99930555555555556</v>
      </c>
      <c r="R465" s="366">
        <f>IF(Table6[[#This Row],[Work Start TimeStamp]]="","",(Table6[[#This Row],[Work Start TimeStamp]]-Table6[[#This Row],[Fault Start TimeStamp]])*24)</f>
        <v>0</v>
      </c>
      <c r="S465" s="367">
        <f>(Table6[[#This Row],[Fault Clearance time]]-Table6[[#This Row],[Work Start TimeStamp]])*24</f>
        <v>23.983333333333334</v>
      </c>
      <c r="T465" s="368">
        <f>(Table6[[#This Row],[Fault Clearance time]]-Table6[[#This Row],[Fault Start TimeStamp]])*24</f>
        <v>23.983333333333334</v>
      </c>
      <c r="U465" s="364" t="s">
        <v>581</v>
      </c>
      <c r="V465" s="369" t="s">
        <v>473</v>
      </c>
      <c r="W465" s="354">
        <f>Table6[[#This Row],[Breakdown Time]]*(1/39)</f>
        <v>0.61495726495726499</v>
      </c>
      <c r="X465" s="352" t="s">
        <v>465</v>
      </c>
      <c r="Y465" s="370" t="s">
        <v>145</v>
      </c>
      <c r="Z465" s="375">
        <v>5832</v>
      </c>
      <c r="AA465" s="123">
        <v>5827.95</v>
      </c>
      <c r="AB465" s="121" t="s">
        <v>478</v>
      </c>
    </row>
    <row r="466" spans="1:28">
      <c r="A466" s="121">
        <f t="shared" si="7"/>
        <v>465</v>
      </c>
      <c r="B466" s="123">
        <f>YEAR(Table6[[#This Row],[Date]])+IF(MONTH(Table6[[#This Row],[Date]])&gt;=4,1,0)</f>
        <v>2026</v>
      </c>
      <c r="C466" s="121">
        <f>YEAR(Table6[[#This Row],[Date]])</f>
        <v>2025</v>
      </c>
      <c r="D466" s="121" t="s">
        <v>490</v>
      </c>
      <c r="E466" s="135">
        <f>Table6[[#This Row],[Date]]-DAY(Table6[[#This Row],[Date]])+1</f>
        <v>45778</v>
      </c>
      <c r="F466" s="134">
        <v>45782</v>
      </c>
      <c r="G466" s="121" t="s">
        <v>141</v>
      </c>
      <c r="H466" s="39" t="str">
        <f>_xlfn.XLOOKUP(Table6[[#This Row],[Affected WTG]],'Basic Data'!$A:$A,'Basic Data'!$B:$B)</f>
        <v>PWEGPL</v>
      </c>
      <c r="I466" s="39" t="str">
        <f>_xlfn.XLOOKUP(Table6[[#This Row],[Affected WTG]],'Basic Data'!$A:$A,'Basic Data'!$C:$C)</f>
        <v>MSEDCL</v>
      </c>
      <c r="J466" s="363">
        <f>IFERROR(VLOOKUP(Table6[[#This Row],[Affected WTG]],'Basic Data'!$A$3:$E$56,5,0),"")</f>
        <v>2.564102564102564E-2</v>
      </c>
      <c r="K466" s="121" t="s">
        <v>492</v>
      </c>
      <c r="L466" s="39" t="str">
        <f>IFERROR(VLOOKUP(Table6[[#This Row],[Error Code]],'Basic Data'!$T:$U,2,0),"")</f>
        <v>Manual Stop - Safety Related</v>
      </c>
      <c r="M466" s="364" t="s">
        <v>481</v>
      </c>
      <c r="O466" s="365">
        <v>0.58194444444444449</v>
      </c>
      <c r="P466" s="365">
        <v>0.58194444444444449</v>
      </c>
      <c r="Q466" s="365">
        <v>0.69791666666666663</v>
      </c>
      <c r="R466" s="366">
        <f>IF(Table6[[#This Row],[Work Start TimeStamp]]="","",(Table6[[#This Row],[Work Start TimeStamp]]-Table6[[#This Row],[Fault Start TimeStamp]])*24)</f>
        <v>0</v>
      </c>
      <c r="S466" s="367">
        <f>(Table6[[#This Row],[Fault Clearance time]]-Table6[[#This Row],[Work Start TimeStamp]])*24</f>
        <v>2.7833333333333314</v>
      </c>
      <c r="T466" s="368">
        <f>(Table6[[#This Row],[Fault Clearance time]]-Table6[[#This Row],[Fault Start TimeStamp]])*24</f>
        <v>2.7833333333333314</v>
      </c>
      <c r="U466" s="364" t="s">
        <v>508</v>
      </c>
      <c r="V466" s="369" t="s">
        <v>463</v>
      </c>
      <c r="W466" s="354">
        <f>Table6[[#This Row],[Breakdown Time]]*(1/39)</f>
        <v>7.1367521367521322E-2</v>
      </c>
      <c r="X466" s="352" t="s">
        <v>468</v>
      </c>
      <c r="Y466" s="370" t="s">
        <v>143</v>
      </c>
      <c r="Z466" s="375">
        <v>7741</v>
      </c>
      <c r="AA466" s="123">
        <v>897.74097222222167</v>
      </c>
      <c r="AB466" s="121" t="s">
        <v>478</v>
      </c>
    </row>
    <row r="467" spans="1:28">
      <c r="A467" s="121">
        <f t="shared" si="7"/>
        <v>466</v>
      </c>
      <c r="B467" s="123">
        <f>YEAR(Table6[[#This Row],[Date]])+IF(MONTH(Table6[[#This Row],[Date]])&gt;=4,1,0)</f>
        <v>2026</v>
      </c>
      <c r="C467" s="121">
        <f>YEAR(Table6[[#This Row],[Date]])</f>
        <v>2025</v>
      </c>
      <c r="D467" s="121" t="s">
        <v>490</v>
      </c>
      <c r="E467" s="135">
        <f>Table6[[#This Row],[Date]]-DAY(Table6[[#This Row],[Date]])+1</f>
        <v>45778</v>
      </c>
      <c r="F467" s="134">
        <v>45783</v>
      </c>
      <c r="G467" s="121" t="s">
        <v>144</v>
      </c>
      <c r="H467" s="39" t="str">
        <f>_xlfn.XLOOKUP(Table6[[#This Row],[Affected WTG]],'Basic Data'!$A:$A,'Basic Data'!$B:$B)</f>
        <v>PWEGPL</v>
      </c>
      <c r="I467" s="39" t="str">
        <f>_xlfn.XLOOKUP(Table6[[#This Row],[Affected WTG]],'Basic Data'!$A:$A,'Basic Data'!$C:$C)</f>
        <v>MSEDCL</v>
      </c>
      <c r="J467" s="363">
        <f>IFERROR(VLOOKUP(Table6[[#This Row],[Affected WTG]],'Basic Data'!$A$3:$E$56,5,0),"")</f>
        <v>2.564102564102564E-2</v>
      </c>
      <c r="K467" s="121" t="s">
        <v>492</v>
      </c>
      <c r="L467" s="39" t="str">
        <f>IFERROR(VLOOKUP(Table6[[#This Row],[Error Code]],'Basic Data'!$T:$U,2,0),"")</f>
        <v>Manual Stop - Safety Related</v>
      </c>
      <c r="M467" s="364" t="s">
        <v>481</v>
      </c>
      <c r="O467" s="365">
        <v>0</v>
      </c>
      <c r="P467" s="365">
        <v>0.99930555555555556</v>
      </c>
      <c r="Q467" s="365">
        <v>0.99930555555555556</v>
      </c>
      <c r="R467" s="366">
        <f>IF(Table6[[#This Row],[Work Start TimeStamp]]="","",(Table6[[#This Row],[Work Start TimeStamp]]-Table6[[#This Row],[Fault Start TimeStamp]])*24)</f>
        <v>23.983333333333334</v>
      </c>
      <c r="S467" s="367">
        <f>(Table6[[#This Row],[Fault Clearance time]]-Table6[[#This Row],[Work Start TimeStamp]])*24</f>
        <v>0</v>
      </c>
      <c r="T467" s="368">
        <f>(Table6[[#This Row],[Fault Clearance time]]-Table6[[#This Row],[Fault Start TimeStamp]])*24</f>
        <v>23.983333333333334</v>
      </c>
      <c r="U467" s="364" t="s">
        <v>498</v>
      </c>
      <c r="V467" s="369" t="s">
        <v>473</v>
      </c>
      <c r="W467" s="354">
        <f>Table6[[#This Row],[Breakdown Time]]*(1/39)</f>
        <v>0.61495726495726499</v>
      </c>
      <c r="X467" s="352" t="s">
        <v>468</v>
      </c>
      <c r="Y467" s="370" t="s">
        <v>141</v>
      </c>
      <c r="Z467" s="121">
        <v>8376</v>
      </c>
      <c r="AA467" s="123">
        <v>8370.1833333333343</v>
      </c>
      <c r="AB467" s="121" t="s">
        <v>478</v>
      </c>
    </row>
    <row r="468" spans="1:28">
      <c r="A468" s="121">
        <f t="shared" si="7"/>
        <v>467</v>
      </c>
      <c r="B468" s="123">
        <f>YEAR(Table6[[#This Row],[Date]])+IF(MONTH(Table6[[#This Row],[Date]])&gt;=4,1,0)</f>
        <v>2026</v>
      </c>
      <c r="C468" s="121">
        <f>YEAR(Table6[[#This Row],[Date]])</f>
        <v>2025</v>
      </c>
      <c r="D468" s="121" t="s">
        <v>490</v>
      </c>
      <c r="E468" s="135">
        <f>Table6[[#This Row],[Date]]-DAY(Table6[[#This Row],[Date]])+1</f>
        <v>45778</v>
      </c>
      <c r="F468" s="134">
        <v>45783</v>
      </c>
      <c r="G468" s="121" t="s">
        <v>142</v>
      </c>
      <c r="H468" s="39" t="str">
        <f>_xlfn.XLOOKUP(Table6[[#This Row],[Affected WTG]],'Basic Data'!$A:$A,'Basic Data'!$B:$B)</f>
        <v>PWEGPL</v>
      </c>
      <c r="I468" s="39" t="str">
        <f>_xlfn.XLOOKUP(Table6[[#This Row],[Affected WTG]],'Basic Data'!$A:$A,'Basic Data'!$C:$C)</f>
        <v>MSEDCL</v>
      </c>
      <c r="J468" s="363">
        <f>IFERROR(VLOOKUP(Table6[[#This Row],[Affected WTG]],'Basic Data'!$A$3:$E$56,5,0),"")</f>
        <v>2.564102564102564E-2</v>
      </c>
      <c r="K468" s="121" t="s">
        <v>492</v>
      </c>
      <c r="L468" s="39" t="str">
        <f>IFERROR(VLOOKUP(Table6[[#This Row],[Error Code]],'Basic Data'!$T:$U,2,0),"")</f>
        <v>Manual Stop - Safety Related</v>
      </c>
      <c r="M468" s="364" t="s">
        <v>481</v>
      </c>
      <c r="O468" s="365">
        <v>0</v>
      </c>
      <c r="P468" s="365">
        <v>0.99930555555555556</v>
      </c>
      <c r="Q468" s="365">
        <v>0.99930555555555556</v>
      </c>
      <c r="R468" s="366">
        <f>IF(Table6[[#This Row],[Work Start TimeStamp]]="","",(Table6[[#This Row],[Work Start TimeStamp]]-Table6[[#This Row],[Fault Start TimeStamp]])*24)</f>
        <v>23.983333333333334</v>
      </c>
      <c r="S468" s="367">
        <f>(Table6[[#This Row],[Fault Clearance time]]-Table6[[#This Row],[Work Start TimeStamp]])*24</f>
        <v>0</v>
      </c>
      <c r="T468" s="368">
        <f>(Table6[[#This Row],[Fault Clearance time]]-Table6[[#This Row],[Fault Start TimeStamp]])*24</f>
        <v>23.983333333333334</v>
      </c>
      <c r="U468" s="364" t="s">
        <v>498</v>
      </c>
      <c r="V468" s="369" t="s">
        <v>473</v>
      </c>
      <c r="W468" s="354">
        <f>Table6[[#This Row],[Breakdown Time]]*(1/39)</f>
        <v>0.61495726495726499</v>
      </c>
      <c r="X468" s="352" t="s">
        <v>468</v>
      </c>
      <c r="Y468" s="370" t="s">
        <v>141</v>
      </c>
      <c r="Z468" s="121">
        <v>8376</v>
      </c>
      <c r="AA468" s="123">
        <v>8370.1833333333343</v>
      </c>
      <c r="AB468" s="121" t="s">
        <v>478</v>
      </c>
    </row>
    <row r="469" spans="1:28">
      <c r="A469" s="121">
        <f t="shared" si="7"/>
        <v>468</v>
      </c>
      <c r="B469" s="123">
        <f>YEAR(Table6[[#This Row],[Date]])+IF(MONTH(Table6[[#This Row],[Date]])&gt;=4,1,0)</f>
        <v>2026</v>
      </c>
      <c r="C469" s="121">
        <f>YEAR(Table6[[#This Row],[Date]])</f>
        <v>2025</v>
      </c>
      <c r="D469" s="121" t="s">
        <v>490</v>
      </c>
      <c r="E469" s="135">
        <f>Table6[[#This Row],[Date]]-DAY(Table6[[#This Row],[Date]])+1</f>
        <v>45778</v>
      </c>
      <c r="F469" s="134">
        <v>45783</v>
      </c>
      <c r="G469" s="121" t="s">
        <v>130</v>
      </c>
      <c r="H469" s="39" t="str">
        <f>_xlfn.XLOOKUP(Table6[[#This Row],[Affected WTG]],'Basic Data'!$A:$A,'Basic Data'!$B:$B)</f>
        <v>PWEGPL</v>
      </c>
      <c r="I469" s="39" t="str">
        <f>_xlfn.XLOOKUP(Table6[[#This Row],[Affected WTG]],'Basic Data'!$A:$A,'Basic Data'!$C:$C)</f>
        <v>MSEDCL</v>
      </c>
      <c r="J469" s="363">
        <f>IFERROR(VLOOKUP(Table6[[#This Row],[Affected WTG]],'Basic Data'!$A$3:$E$56,5,0),"")</f>
        <v>2.564102564102564E-2</v>
      </c>
      <c r="K469" s="121">
        <v>203</v>
      </c>
      <c r="L469" s="39" t="str">
        <f>IFERROR(VLOOKUP(Table6[[#This Row],[Error Code]],'Basic Data'!$T:$U,2,0),"")</f>
        <v>Low Pressure On Hydraulic Group</v>
      </c>
      <c r="M469" s="364" t="s">
        <v>462</v>
      </c>
      <c r="O469" s="365">
        <v>0.58472222222222225</v>
      </c>
      <c r="P469" s="365">
        <v>0.60902777777777772</v>
      </c>
      <c r="Q469" s="365">
        <v>0.60972222222222228</v>
      </c>
      <c r="R469" s="366">
        <f>IF(Table6[[#This Row],[Work Start TimeStamp]]="","",(Table6[[#This Row],[Work Start TimeStamp]]-Table6[[#This Row],[Fault Start TimeStamp]])*24)</f>
        <v>0.58333333333333126</v>
      </c>
      <c r="S469" s="367">
        <f>(Table6[[#This Row],[Fault Clearance time]]-Table6[[#This Row],[Work Start TimeStamp]])*24</f>
        <v>1.6666666666669272E-2</v>
      </c>
      <c r="T469" s="368">
        <f>(Table6[[#This Row],[Fault Clearance time]]-Table6[[#This Row],[Fault Start TimeStamp]])*24</f>
        <v>0.60000000000000053</v>
      </c>
      <c r="U469" s="364" t="s">
        <v>493</v>
      </c>
      <c r="V469" s="369" t="s">
        <v>463</v>
      </c>
      <c r="W469" s="354">
        <f>Table6[[#This Row],[Breakdown Time]]*(1/39)</f>
        <v>1.5384615384615398E-2</v>
      </c>
      <c r="X469" s="352" t="s">
        <v>465</v>
      </c>
      <c r="Y469" s="370" t="s">
        <v>131</v>
      </c>
      <c r="Z469" s="121">
        <v>9644</v>
      </c>
      <c r="AA469" s="123">
        <v>241.10000000000019</v>
      </c>
      <c r="AB469" s="121" t="s">
        <v>478</v>
      </c>
    </row>
    <row r="470" spans="1:28">
      <c r="A470" s="121">
        <f t="shared" si="7"/>
        <v>469</v>
      </c>
      <c r="B470" s="123">
        <f>YEAR(Table6[[#This Row],[Date]])+IF(MONTH(Table6[[#This Row],[Date]])&gt;=4,1,0)</f>
        <v>2026</v>
      </c>
      <c r="C470" s="121">
        <f>YEAR(Table6[[#This Row],[Date]])</f>
        <v>2025</v>
      </c>
      <c r="D470" s="121" t="s">
        <v>490</v>
      </c>
      <c r="E470" s="135">
        <f>Table6[[#This Row],[Date]]-DAY(Table6[[#This Row],[Date]])+1</f>
        <v>45778</v>
      </c>
      <c r="F470" s="134">
        <v>45783</v>
      </c>
      <c r="G470" s="121" t="s">
        <v>133</v>
      </c>
      <c r="H470" s="39" t="str">
        <f>_xlfn.XLOOKUP(Table6[[#This Row],[Affected WTG]],'Basic Data'!$A:$A,'Basic Data'!$B:$B)</f>
        <v>PWEGPL</v>
      </c>
      <c r="I470" s="39" t="str">
        <f>_xlfn.XLOOKUP(Table6[[#This Row],[Affected WTG]],'Basic Data'!$A:$A,'Basic Data'!$C:$C)</f>
        <v>MSEDCL</v>
      </c>
      <c r="J470" s="363">
        <f>IFERROR(VLOOKUP(Table6[[#This Row],[Affected WTG]],'Basic Data'!$A$3:$E$56,5,0),"")</f>
        <v>2.564102564102564E-2</v>
      </c>
      <c r="K470" s="121">
        <v>5216</v>
      </c>
      <c r="L470" s="39" t="str">
        <f>IFERROR(VLOOKUP(Table6[[#This Row],[Error Code]],'Basic Data'!$T:$U,2,0),"")</f>
        <v>Grid Voltage Failure</v>
      </c>
      <c r="M470" s="364" t="s">
        <v>462</v>
      </c>
      <c r="O470" s="365">
        <v>0.52222222222222225</v>
      </c>
      <c r="P470" s="365">
        <v>0.54861111111111116</v>
      </c>
      <c r="Q470" s="365">
        <v>0.59166666666666667</v>
      </c>
      <c r="R470" s="366">
        <f>IF(Table6[[#This Row],[Work Start TimeStamp]]="","",(Table6[[#This Row],[Work Start TimeStamp]]-Table6[[#This Row],[Fault Start TimeStamp]])*24)</f>
        <v>0.63333333333333375</v>
      </c>
      <c r="S470" s="367">
        <f>(Table6[[#This Row],[Fault Clearance time]]-Table6[[#This Row],[Work Start TimeStamp]])*24</f>
        <v>1.0333333333333323</v>
      </c>
      <c r="T470" s="368">
        <f>(Table6[[#This Row],[Fault Clearance time]]-Table6[[#This Row],[Fault Start TimeStamp]])*24</f>
        <v>1.6666666666666661</v>
      </c>
      <c r="U470" s="364" t="s">
        <v>584</v>
      </c>
      <c r="V470" s="369" t="s">
        <v>463</v>
      </c>
      <c r="W470" s="354">
        <f>Table6[[#This Row],[Breakdown Time]]*(1/39)</f>
        <v>4.2735042735042715E-2</v>
      </c>
      <c r="X470" s="352" t="s">
        <v>465</v>
      </c>
      <c r="Y470" s="370" t="s">
        <v>132</v>
      </c>
      <c r="Z470" s="121">
        <v>9640</v>
      </c>
      <c r="AA470" s="123">
        <v>669.44444444444423</v>
      </c>
      <c r="AB470" s="121" t="s">
        <v>478</v>
      </c>
    </row>
    <row r="471" spans="1:28">
      <c r="A471" s="121">
        <f t="shared" si="7"/>
        <v>470</v>
      </c>
      <c r="B471" s="123">
        <f>YEAR(Table6[[#This Row],[Date]])+IF(MONTH(Table6[[#This Row],[Date]])&gt;=4,1,0)</f>
        <v>2026</v>
      </c>
      <c r="C471" s="121">
        <f>YEAR(Table6[[#This Row],[Date]])</f>
        <v>2025</v>
      </c>
      <c r="D471" s="121" t="s">
        <v>490</v>
      </c>
      <c r="E471" s="135">
        <f>Table6[[#This Row],[Date]]-DAY(Table6[[#This Row],[Date]])+1</f>
        <v>45778</v>
      </c>
      <c r="F471" s="134">
        <v>45783</v>
      </c>
      <c r="G471" s="121" t="s">
        <v>136</v>
      </c>
      <c r="H471" s="39" t="str">
        <f>_xlfn.XLOOKUP(Table6[[#This Row],[Affected WTG]],'Basic Data'!$A:$A,'Basic Data'!$B:$B)</f>
        <v>PWEGPL</v>
      </c>
      <c r="I471" s="39" t="str">
        <f>_xlfn.XLOOKUP(Table6[[#This Row],[Affected WTG]],'Basic Data'!$A:$A,'Basic Data'!$C:$C)</f>
        <v>MSEDCL</v>
      </c>
      <c r="J471" s="363">
        <f>IFERROR(VLOOKUP(Table6[[#This Row],[Affected WTG]],'Basic Data'!$A$3:$E$56,5,0),"")</f>
        <v>2.564102564102564E-2</v>
      </c>
      <c r="K471" s="121">
        <v>813</v>
      </c>
      <c r="L471" s="39" t="str">
        <f>IFERROR(VLOOKUP(Table6[[#This Row],[Error Code]],'Basic Data'!$T:$U,2,0),"")</f>
        <v>Low Pressure Of Emergency Accumulators</v>
      </c>
      <c r="M471" s="364" t="s">
        <v>462</v>
      </c>
      <c r="O471" s="365">
        <v>0.54513888888888884</v>
      </c>
      <c r="P471" s="365">
        <v>0.57777777777777772</v>
      </c>
      <c r="Q471" s="365">
        <v>0.57847222222222228</v>
      </c>
      <c r="R471" s="366">
        <f>IF(Table6[[#This Row],[Work Start TimeStamp]]="","",(Table6[[#This Row],[Work Start TimeStamp]]-Table6[[#This Row],[Fault Start TimeStamp]])*24)</f>
        <v>0.78333333333333321</v>
      </c>
      <c r="S471" s="367">
        <f>(Table6[[#This Row],[Fault Clearance time]]-Table6[[#This Row],[Work Start TimeStamp]])*24</f>
        <v>1.6666666666669272E-2</v>
      </c>
      <c r="T471" s="368">
        <f>(Table6[[#This Row],[Fault Clearance time]]-Table6[[#This Row],[Fault Start TimeStamp]])*24</f>
        <v>0.80000000000000249</v>
      </c>
      <c r="U471" s="364" t="s">
        <v>493</v>
      </c>
      <c r="V471" s="369" t="s">
        <v>463</v>
      </c>
      <c r="W471" s="354">
        <f>Table6[[#This Row],[Breakdown Time]]*(1/39)</f>
        <v>2.0512820512820575E-2</v>
      </c>
      <c r="X471" s="352" t="s">
        <v>465</v>
      </c>
      <c r="Y471" s="370" t="s">
        <v>119</v>
      </c>
      <c r="Z471" s="121">
        <v>8301</v>
      </c>
      <c r="AA471" s="123">
        <v>276.70000000000084</v>
      </c>
      <c r="AB471" s="121" t="s">
        <v>478</v>
      </c>
    </row>
    <row r="472" spans="1:28">
      <c r="A472" s="121">
        <f t="shared" si="7"/>
        <v>471</v>
      </c>
      <c r="B472" s="123">
        <f>YEAR(Table6[[#This Row],[Date]])+IF(MONTH(Table6[[#This Row],[Date]])&gt;=4,1,0)</f>
        <v>2026</v>
      </c>
      <c r="C472" s="121">
        <f>YEAR(Table6[[#This Row],[Date]])</f>
        <v>2025</v>
      </c>
      <c r="D472" s="121" t="s">
        <v>490</v>
      </c>
      <c r="E472" s="135">
        <f>Table6[[#This Row],[Date]]-DAY(Table6[[#This Row],[Date]])+1</f>
        <v>45778</v>
      </c>
      <c r="F472" s="134">
        <v>45783</v>
      </c>
      <c r="G472" s="121" t="s">
        <v>137</v>
      </c>
      <c r="H472" s="39" t="str">
        <f>_xlfn.XLOOKUP(Table6[[#This Row],[Affected WTG]],'Basic Data'!$A:$A,'Basic Data'!$B:$B)</f>
        <v>PWEGPL</v>
      </c>
      <c r="I472" s="39" t="str">
        <f>_xlfn.XLOOKUP(Table6[[#This Row],[Affected WTG]],'Basic Data'!$A:$A,'Basic Data'!$C:$C)</f>
        <v>MSEDCL</v>
      </c>
      <c r="J472" s="363">
        <f>IFERROR(VLOOKUP(Table6[[#This Row],[Affected WTG]],'Basic Data'!$A$3:$E$56,5,0),"")</f>
        <v>2.564102564102564E-2</v>
      </c>
      <c r="K472" s="121">
        <v>2118</v>
      </c>
      <c r="L472" s="39" t="str">
        <f>IFERROR(VLOOKUP(Table6[[#This Row],[Error Code]],'Basic Data'!$T:$U,2,0),"")</f>
        <v>Bus Error - Interbus Failure</v>
      </c>
      <c r="M472" s="364" t="s">
        <v>462</v>
      </c>
      <c r="O472" s="365">
        <v>0.63888888888888884</v>
      </c>
      <c r="P472" s="365">
        <v>0.66805555555555551</v>
      </c>
      <c r="Q472" s="365">
        <v>0.6694444444444444</v>
      </c>
      <c r="R472" s="366">
        <f>IF(Table6[[#This Row],[Work Start TimeStamp]]="","",(Table6[[#This Row],[Work Start TimeStamp]]-Table6[[#This Row],[Fault Start TimeStamp]])*24)</f>
        <v>0.70000000000000018</v>
      </c>
      <c r="S472" s="367">
        <f>(Table6[[#This Row],[Fault Clearance time]]-Table6[[#This Row],[Work Start TimeStamp]])*24</f>
        <v>3.3333333333333215E-2</v>
      </c>
      <c r="T472" s="368">
        <f>(Table6[[#This Row],[Fault Clearance time]]-Table6[[#This Row],[Fault Start TimeStamp]])*24</f>
        <v>0.73333333333333339</v>
      </c>
      <c r="U472" s="364" t="s">
        <v>491</v>
      </c>
      <c r="V472" s="369" t="s">
        <v>463</v>
      </c>
      <c r="W472" s="354">
        <f>Table6[[#This Row],[Breakdown Time]]*(1/39)</f>
        <v>1.8803418803418806E-2</v>
      </c>
      <c r="X472" s="352" t="s">
        <v>465</v>
      </c>
      <c r="Y472" s="370" t="s">
        <v>119</v>
      </c>
      <c r="Z472" s="121">
        <v>8301</v>
      </c>
      <c r="AA472" s="123">
        <v>253.64166666666668</v>
      </c>
      <c r="AB472" s="121" t="s">
        <v>478</v>
      </c>
    </row>
    <row r="473" spans="1:28">
      <c r="A473" s="121">
        <f t="shared" si="7"/>
        <v>472</v>
      </c>
      <c r="B473" s="123">
        <f>YEAR(Table6[[#This Row],[Date]])+IF(MONTH(Table6[[#This Row],[Date]])&gt;=4,1,0)</f>
        <v>2026</v>
      </c>
      <c r="C473" s="121">
        <f>YEAR(Table6[[#This Row],[Date]])</f>
        <v>2025</v>
      </c>
      <c r="D473" s="121" t="s">
        <v>490</v>
      </c>
      <c r="E473" s="135">
        <f>Table6[[#This Row],[Date]]-DAY(Table6[[#This Row],[Date]])+1</f>
        <v>45778</v>
      </c>
      <c r="F473" s="134">
        <v>45783</v>
      </c>
      <c r="G473" s="121" t="s">
        <v>139</v>
      </c>
      <c r="H473" s="39" t="str">
        <f>_xlfn.XLOOKUP(Table6[[#This Row],[Affected WTG]],'Basic Data'!$A:$A,'Basic Data'!$B:$B)</f>
        <v>PWEGPL</v>
      </c>
      <c r="I473" s="39" t="str">
        <f>_xlfn.XLOOKUP(Table6[[#This Row],[Affected WTG]],'Basic Data'!$A:$A,'Basic Data'!$C:$C)</f>
        <v>MSEDCL</v>
      </c>
      <c r="J473" s="363">
        <f>IFERROR(VLOOKUP(Table6[[#This Row],[Affected WTG]],'Basic Data'!$A$3:$E$56,5,0),"")</f>
        <v>2.564102564102564E-2</v>
      </c>
      <c r="K473" s="121" t="s">
        <v>466</v>
      </c>
      <c r="L473" s="39" t="str">
        <f>IFERROR(VLOOKUP(Table6[[#This Row],[Error Code]],'Basic Data'!$T:$U,2,0),"")</f>
        <v>Manual Stop</v>
      </c>
      <c r="M473" s="364" t="s">
        <v>479</v>
      </c>
      <c r="O473" s="365">
        <v>0</v>
      </c>
      <c r="P473" s="365">
        <v>0</v>
      </c>
      <c r="Q473" s="365">
        <v>0.65486111111111112</v>
      </c>
      <c r="R473" s="366">
        <f>IF(Table6[[#This Row],[Work Start TimeStamp]]="","",(Table6[[#This Row],[Work Start TimeStamp]]-Table6[[#This Row],[Fault Start TimeStamp]])*24)</f>
        <v>0</v>
      </c>
      <c r="S473" s="367">
        <f>(Table6[[#This Row],[Fault Clearance time]]-Table6[[#This Row],[Work Start TimeStamp]])*24</f>
        <v>15.716666666666667</v>
      </c>
      <c r="T473" s="368">
        <f>(Table6[[#This Row],[Fault Clearance time]]-Table6[[#This Row],[Fault Start TimeStamp]])*24</f>
        <v>15.716666666666667</v>
      </c>
      <c r="U473" s="364" t="s">
        <v>585</v>
      </c>
      <c r="V473" s="369" t="s">
        <v>463</v>
      </c>
      <c r="W473" s="354">
        <f>Table6[[#This Row],[Breakdown Time]]*(1/39)</f>
        <v>0.402991452991453</v>
      </c>
      <c r="X473" s="352" t="s">
        <v>464</v>
      </c>
      <c r="Y473" s="370" t="s">
        <v>145</v>
      </c>
      <c r="Z473" s="121">
        <v>6972</v>
      </c>
      <c r="AA473" s="123">
        <v>4565.6916666666666</v>
      </c>
      <c r="AB473" s="121" t="s">
        <v>478</v>
      </c>
    </row>
    <row r="474" spans="1:28">
      <c r="A474" s="121">
        <f t="shared" si="7"/>
        <v>473</v>
      </c>
      <c r="B474" s="123">
        <f>YEAR(Table6[[#This Row],[Date]])+IF(MONTH(Table6[[#This Row],[Date]])&gt;=4,1,0)</f>
        <v>2026</v>
      </c>
      <c r="C474" s="121">
        <f>YEAR(Table6[[#This Row],[Date]])</f>
        <v>2025</v>
      </c>
      <c r="D474" s="121" t="s">
        <v>490</v>
      </c>
      <c r="E474" s="135">
        <f>Table6[[#This Row],[Date]]-DAY(Table6[[#This Row],[Date]])+1</f>
        <v>45778</v>
      </c>
      <c r="F474" s="134">
        <v>45783</v>
      </c>
      <c r="G474" s="121" t="s">
        <v>150</v>
      </c>
      <c r="H474" s="39" t="str">
        <f>_xlfn.XLOOKUP(Table6[[#This Row],[Affected WTG]],'Basic Data'!$A:$A,'Basic Data'!$B:$B)</f>
        <v>PWEGPL</v>
      </c>
      <c r="I474" s="39" t="str">
        <f>_xlfn.XLOOKUP(Table6[[#This Row],[Affected WTG]],'Basic Data'!$A:$A,'Basic Data'!$C:$C)</f>
        <v>MSEDCL</v>
      </c>
      <c r="J474" s="363">
        <f>IFERROR(VLOOKUP(Table6[[#This Row],[Affected WTG]],'Basic Data'!$A$3:$E$56,5,0),"")</f>
        <v>2.564102564102564E-2</v>
      </c>
      <c r="K474" s="121" t="s">
        <v>476</v>
      </c>
      <c r="L474" s="39" t="str">
        <f>IFERROR(VLOOKUP(Table6[[#This Row],[Error Code]],'Basic Data'!$T:$U,2,0),"")</f>
        <v>Manual Stop - Preventive Maintenance Activity</v>
      </c>
      <c r="M474" s="364" t="s">
        <v>474</v>
      </c>
      <c r="O474" s="365">
        <v>0.47361111111111109</v>
      </c>
      <c r="P474" s="365">
        <v>0.47361111111111109</v>
      </c>
      <c r="Q474" s="365">
        <v>0.76458333333333328</v>
      </c>
      <c r="R474" s="366">
        <f>IF(Table6[[#This Row],[Work Start TimeStamp]]="","",(Table6[[#This Row],[Work Start TimeStamp]]-Table6[[#This Row],[Fault Start TimeStamp]])*24)</f>
        <v>0</v>
      </c>
      <c r="S474" s="367">
        <f>(Table6[[#This Row],[Fault Clearance time]]-Table6[[#This Row],[Work Start TimeStamp]])*24</f>
        <v>6.9833333333333325</v>
      </c>
      <c r="T474" s="368">
        <f>(Table6[[#This Row],[Fault Clearance time]]-Table6[[#This Row],[Fault Start TimeStamp]])*24</f>
        <v>6.9833333333333325</v>
      </c>
      <c r="U474" s="364" t="s">
        <v>580</v>
      </c>
      <c r="V474" s="369" t="s">
        <v>463</v>
      </c>
      <c r="W474" s="354">
        <f>Table6[[#This Row],[Breakdown Time]]*(1/39)</f>
        <v>0.17905982905982903</v>
      </c>
      <c r="X474" s="352" t="s">
        <v>467</v>
      </c>
      <c r="Y474" s="370" t="s">
        <v>149</v>
      </c>
      <c r="Z474" s="121">
        <v>6953</v>
      </c>
      <c r="AA474" s="123">
        <v>2023.1298611111108</v>
      </c>
      <c r="AB474" s="121" t="s">
        <v>478</v>
      </c>
    </row>
    <row r="475" spans="1:28">
      <c r="A475" s="121">
        <f t="shared" si="7"/>
        <v>474</v>
      </c>
      <c r="B475" s="123">
        <f>YEAR(Table6[[#This Row],[Date]])+IF(MONTH(Table6[[#This Row],[Date]])&gt;=4,1,0)</f>
        <v>2026</v>
      </c>
      <c r="C475" s="121">
        <f>YEAR(Table6[[#This Row],[Date]])</f>
        <v>2025</v>
      </c>
      <c r="D475" s="121" t="s">
        <v>490</v>
      </c>
      <c r="E475" s="135">
        <f>Table6[[#This Row],[Date]]-DAY(Table6[[#This Row],[Date]])+1</f>
        <v>45778</v>
      </c>
      <c r="F475" s="134">
        <v>45784</v>
      </c>
      <c r="G475" s="121" t="s">
        <v>144</v>
      </c>
      <c r="H475" s="39" t="str">
        <f>_xlfn.XLOOKUP(Table6[[#This Row],[Affected WTG]],'Basic Data'!$A:$A,'Basic Data'!$B:$B)</f>
        <v>PWEGPL</v>
      </c>
      <c r="I475" s="39" t="str">
        <f>_xlfn.XLOOKUP(Table6[[#This Row],[Affected WTG]],'Basic Data'!$A:$A,'Basic Data'!$C:$C)</f>
        <v>MSEDCL</v>
      </c>
      <c r="J475" s="363">
        <f>IFERROR(VLOOKUP(Table6[[#This Row],[Affected WTG]],'Basic Data'!$A$3:$E$56,5,0),"")</f>
        <v>2.564102564102564E-2</v>
      </c>
      <c r="K475" s="121" t="s">
        <v>492</v>
      </c>
      <c r="L475" s="39" t="str">
        <f>IFERROR(VLOOKUP(Table6[[#This Row],[Error Code]],'Basic Data'!$T:$U,2,0),"")</f>
        <v>Manual Stop - Safety Related</v>
      </c>
      <c r="M475" s="364" t="s">
        <v>481</v>
      </c>
      <c r="O475" s="365">
        <v>0</v>
      </c>
      <c r="P475" s="365">
        <v>0.99930555555555556</v>
      </c>
      <c r="Q475" s="365">
        <v>0.99930555555555556</v>
      </c>
      <c r="R475" s="366">
        <f>IF(Table6[[#This Row],[Work Start TimeStamp]]="","",(Table6[[#This Row],[Work Start TimeStamp]]-Table6[[#This Row],[Fault Start TimeStamp]])*24)</f>
        <v>23.983333333333334</v>
      </c>
      <c r="S475" s="367">
        <f>(Table6[[#This Row],[Fault Clearance time]]-Table6[[#This Row],[Work Start TimeStamp]])*24</f>
        <v>0</v>
      </c>
      <c r="T475" s="368">
        <f>(Table6[[#This Row],[Fault Clearance time]]-Table6[[#This Row],[Fault Start TimeStamp]])*24</f>
        <v>23.983333333333334</v>
      </c>
      <c r="U475" s="364" t="s">
        <v>498</v>
      </c>
      <c r="V475" s="369" t="s">
        <v>473</v>
      </c>
      <c r="W475" s="354">
        <f>Table6[[#This Row],[Breakdown Time]]*(1/39)</f>
        <v>0.61495726495726499</v>
      </c>
      <c r="X475" s="352" t="s">
        <v>468</v>
      </c>
      <c r="Y475" s="370" t="s">
        <v>141</v>
      </c>
      <c r="Z475" s="121">
        <v>9453</v>
      </c>
      <c r="AA475" s="123">
        <v>9446.4354166666672</v>
      </c>
      <c r="AB475" s="121" t="s">
        <v>478</v>
      </c>
    </row>
    <row r="476" spans="1:28">
      <c r="A476" s="121">
        <f t="shared" si="7"/>
        <v>475</v>
      </c>
      <c r="B476" s="123">
        <f>YEAR(Table6[[#This Row],[Date]])+IF(MONTH(Table6[[#This Row],[Date]])&gt;=4,1,0)</f>
        <v>2026</v>
      </c>
      <c r="C476" s="121">
        <f>YEAR(Table6[[#This Row],[Date]])</f>
        <v>2025</v>
      </c>
      <c r="D476" s="121" t="s">
        <v>490</v>
      </c>
      <c r="E476" s="135">
        <f>Table6[[#This Row],[Date]]-DAY(Table6[[#This Row],[Date]])+1</f>
        <v>45778</v>
      </c>
      <c r="F476" s="134">
        <v>45784</v>
      </c>
      <c r="G476" s="121" t="s">
        <v>142</v>
      </c>
      <c r="H476" s="39" t="str">
        <f>_xlfn.XLOOKUP(Table6[[#This Row],[Affected WTG]],'Basic Data'!$A:$A,'Basic Data'!$B:$B)</f>
        <v>PWEGPL</v>
      </c>
      <c r="I476" s="39" t="str">
        <f>_xlfn.XLOOKUP(Table6[[#This Row],[Affected WTG]],'Basic Data'!$A:$A,'Basic Data'!$C:$C)</f>
        <v>MSEDCL</v>
      </c>
      <c r="J476" s="363">
        <f>IFERROR(VLOOKUP(Table6[[#This Row],[Affected WTG]],'Basic Data'!$A$3:$E$56,5,0),"")</f>
        <v>2.564102564102564E-2</v>
      </c>
      <c r="K476" s="121" t="s">
        <v>492</v>
      </c>
      <c r="L476" s="39" t="str">
        <f>IFERROR(VLOOKUP(Table6[[#This Row],[Error Code]],'Basic Data'!$T:$U,2,0),"")</f>
        <v>Manual Stop - Safety Related</v>
      </c>
      <c r="M476" s="364" t="s">
        <v>481</v>
      </c>
      <c r="O476" s="365">
        <v>0</v>
      </c>
      <c r="P476" s="365">
        <v>0.99930555555555556</v>
      </c>
      <c r="Q476" s="365">
        <v>0.99930555555555556</v>
      </c>
      <c r="R476" s="366">
        <f>IF(Table6[[#This Row],[Work Start TimeStamp]]="","",(Table6[[#This Row],[Work Start TimeStamp]]-Table6[[#This Row],[Fault Start TimeStamp]])*24)</f>
        <v>23.983333333333334</v>
      </c>
      <c r="S476" s="367">
        <f>(Table6[[#This Row],[Fault Clearance time]]-Table6[[#This Row],[Work Start TimeStamp]])*24</f>
        <v>0</v>
      </c>
      <c r="T476" s="368">
        <f>(Table6[[#This Row],[Fault Clearance time]]-Table6[[#This Row],[Fault Start TimeStamp]])*24</f>
        <v>23.983333333333334</v>
      </c>
      <c r="U476" s="364" t="s">
        <v>498</v>
      </c>
      <c r="V476" s="369" t="s">
        <v>473</v>
      </c>
      <c r="W476" s="354">
        <f>Table6[[#This Row],[Breakdown Time]]*(1/39)</f>
        <v>0.61495726495726499</v>
      </c>
      <c r="X476" s="352" t="s">
        <v>468</v>
      </c>
      <c r="Y476" s="370" t="s">
        <v>141</v>
      </c>
      <c r="Z476" s="121">
        <v>9453</v>
      </c>
      <c r="AA476" s="123">
        <v>9446.4354166666672</v>
      </c>
      <c r="AB476" s="121" t="s">
        <v>478</v>
      </c>
    </row>
    <row r="477" spans="1:28">
      <c r="A477" s="121">
        <f t="shared" si="7"/>
        <v>476</v>
      </c>
      <c r="B477" s="123">
        <f>YEAR(Table6[[#This Row],[Date]])+IF(MONTH(Table6[[#This Row],[Date]])&gt;=4,1,0)</f>
        <v>2026</v>
      </c>
      <c r="C477" s="121">
        <f>YEAR(Table6[[#This Row],[Date]])</f>
        <v>2025</v>
      </c>
      <c r="D477" s="121" t="s">
        <v>490</v>
      </c>
      <c r="E477" s="135">
        <f>Table6[[#This Row],[Date]]-DAY(Table6[[#This Row],[Date]])+1</f>
        <v>45778</v>
      </c>
      <c r="F477" s="134">
        <v>45784</v>
      </c>
      <c r="G477" s="121" t="s">
        <v>115</v>
      </c>
      <c r="H477" s="39" t="str">
        <f>_xlfn.XLOOKUP(Table6[[#This Row],[Affected WTG]],'Basic Data'!$A:$A,'Basic Data'!$B:$B)</f>
        <v>PWEGPL</v>
      </c>
      <c r="I477" s="39" t="str">
        <f>_xlfn.XLOOKUP(Table6[[#This Row],[Affected WTG]],'Basic Data'!$A:$A,'Basic Data'!$C:$C)</f>
        <v>MSEDCL</v>
      </c>
      <c r="J477" s="363">
        <f>IFERROR(VLOOKUP(Table6[[#This Row],[Affected WTG]],'Basic Data'!$A$3:$E$56,5,0),"")</f>
        <v>2.564102564102564E-2</v>
      </c>
      <c r="K477" s="121">
        <v>2118</v>
      </c>
      <c r="L477" s="39" t="str">
        <f>IFERROR(VLOOKUP(Table6[[#This Row],[Error Code]],'Basic Data'!$T:$U,2,0),"")</f>
        <v>Bus Error - Interbus Failure</v>
      </c>
      <c r="M477" s="364" t="s">
        <v>462</v>
      </c>
      <c r="O477" s="365">
        <v>0.66180555555555554</v>
      </c>
      <c r="P477" s="365">
        <v>0.69097222222222221</v>
      </c>
      <c r="Q477" s="365">
        <v>0.69236111111111109</v>
      </c>
      <c r="R477" s="366">
        <f>IF(Table6[[#This Row],[Work Start TimeStamp]]="","",(Table6[[#This Row],[Work Start TimeStamp]]-Table6[[#This Row],[Fault Start TimeStamp]])*24)</f>
        <v>0.70000000000000018</v>
      </c>
      <c r="S477" s="367">
        <f>(Table6[[#This Row],[Fault Clearance time]]-Table6[[#This Row],[Work Start TimeStamp]])*24</f>
        <v>3.3333333333333215E-2</v>
      </c>
      <c r="T477" s="368">
        <f>(Table6[[#This Row],[Fault Clearance time]]-Table6[[#This Row],[Fault Start TimeStamp]])*24</f>
        <v>0.73333333333333339</v>
      </c>
      <c r="U477" s="364" t="s">
        <v>491</v>
      </c>
      <c r="V477" s="369" t="s">
        <v>463</v>
      </c>
      <c r="W477" s="354">
        <f>Table6[[#This Row],[Breakdown Time]]*(1/39)</f>
        <v>1.8803418803418806E-2</v>
      </c>
      <c r="X477" s="352" t="s">
        <v>465</v>
      </c>
      <c r="Y477" s="370" t="s">
        <v>121</v>
      </c>
      <c r="Z477" s="121">
        <v>10989</v>
      </c>
      <c r="AA477" s="123">
        <v>335.77500000000003</v>
      </c>
      <c r="AB477" s="121" t="s">
        <v>478</v>
      </c>
    </row>
    <row r="478" spans="1:28">
      <c r="A478" s="121">
        <f t="shared" si="7"/>
        <v>477</v>
      </c>
      <c r="B478" s="123">
        <f>YEAR(Table6[[#This Row],[Date]])+IF(MONTH(Table6[[#This Row],[Date]])&gt;=4,1,0)</f>
        <v>2026</v>
      </c>
      <c r="C478" s="121">
        <f>YEAR(Table6[[#This Row],[Date]])</f>
        <v>2025</v>
      </c>
      <c r="D478" s="121" t="s">
        <v>490</v>
      </c>
      <c r="E478" s="135">
        <f>Table6[[#This Row],[Date]]-DAY(Table6[[#This Row],[Date]])+1</f>
        <v>45778</v>
      </c>
      <c r="F478" s="134">
        <v>45784</v>
      </c>
      <c r="G478" s="121" t="s">
        <v>120</v>
      </c>
      <c r="H478" s="39" t="str">
        <f>_xlfn.XLOOKUP(Table6[[#This Row],[Affected WTG]],'Basic Data'!$A:$A,'Basic Data'!$B:$B)</f>
        <v>PWEGPL</v>
      </c>
      <c r="I478" s="39" t="str">
        <f>_xlfn.XLOOKUP(Table6[[#This Row],[Affected WTG]],'Basic Data'!$A:$A,'Basic Data'!$C:$C)</f>
        <v>MSEDCL</v>
      </c>
      <c r="J478" s="363">
        <f>IFERROR(VLOOKUP(Table6[[#This Row],[Affected WTG]],'Basic Data'!$A$3:$E$56,5,0),"")</f>
        <v>2.564102564102564E-2</v>
      </c>
      <c r="K478" s="121">
        <v>2118</v>
      </c>
      <c r="L478" s="39" t="str">
        <f>IFERROR(VLOOKUP(Table6[[#This Row],[Error Code]],'Basic Data'!$T:$U,2,0),"")</f>
        <v>Bus Error - Interbus Failure</v>
      </c>
      <c r="M478" s="364" t="s">
        <v>462</v>
      </c>
      <c r="O478" s="365">
        <v>0.66180555555555554</v>
      </c>
      <c r="P478" s="365">
        <v>0.6875</v>
      </c>
      <c r="Q478" s="365">
        <v>0.68888888888888888</v>
      </c>
      <c r="R478" s="366">
        <f>IF(Table6[[#This Row],[Work Start TimeStamp]]="","",(Table6[[#This Row],[Work Start TimeStamp]]-Table6[[#This Row],[Fault Start TimeStamp]])*24)</f>
        <v>0.61666666666666714</v>
      </c>
      <c r="S478" s="367">
        <f>(Table6[[#This Row],[Fault Clearance time]]-Table6[[#This Row],[Work Start TimeStamp]])*24</f>
        <v>3.3333333333333215E-2</v>
      </c>
      <c r="T478" s="368">
        <f>(Table6[[#This Row],[Fault Clearance time]]-Table6[[#This Row],[Fault Start TimeStamp]])*24</f>
        <v>0.65000000000000036</v>
      </c>
      <c r="U478" s="364" t="s">
        <v>491</v>
      </c>
      <c r="V478" s="369" t="s">
        <v>463</v>
      </c>
      <c r="W478" s="354">
        <f>Table6[[#This Row],[Breakdown Time]]*(1/39)</f>
        <v>1.6666666666666677E-2</v>
      </c>
      <c r="X478" s="352" t="s">
        <v>465</v>
      </c>
      <c r="Y478" s="370" t="s">
        <v>117</v>
      </c>
      <c r="Z478" s="121">
        <v>12694</v>
      </c>
      <c r="AA478" s="123">
        <v>343.79583333333352</v>
      </c>
      <c r="AB478" s="121" t="s">
        <v>478</v>
      </c>
    </row>
    <row r="479" spans="1:28">
      <c r="A479" s="121">
        <f t="shared" si="7"/>
        <v>478</v>
      </c>
      <c r="B479" s="123">
        <f>YEAR(Table6[[#This Row],[Date]])+IF(MONTH(Table6[[#This Row],[Date]])&gt;=4,1,0)</f>
        <v>2026</v>
      </c>
      <c r="C479" s="121">
        <f>YEAR(Table6[[#This Row],[Date]])</f>
        <v>2025</v>
      </c>
      <c r="D479" s="121" t="s">
        <v>490</v>
      </c>
      <c r="E479" s="135">
        <f>Table6[[#This Row],[Date]]-DAY(Table6[[#This Row],[Date]])+1</f>
        <v>45778</v>
      </c>
      <c r="F479" s="134">
        <v>45784</v>
      </c>
      <c r="G479" s="121" t="s">
        <v>121</v>
      </c>
      <c r="H479" s="39" t="str">
        <f>_xlfn.XLOOKUP(Table6[[#This Row],[Affected WTG]],'Basic Data'!$A:$A,'Basic Data'!$B:$B)</f>
        <v>PWEGPL</v>
      </c>
      <c r="I479" s="39" t="str">
        <f>_xlfn.XLOOKUP(Table6[[#This Row],[Affected WTG]],'Basic Data'!$A:$A,'Basic Data'!$C:$C)</f>
        <v>MSEDCL</v>
      </c>
      <c r="J479" s="363">
        <f>IFERROR(VLOOKUP(Table6[[#This Row],[Affected WTG]],'Basic Data'!$A$3:$E$56,5,0),"")</f>
        <v>2.564102564102564E-2</v>
      </c>
      <c r="K479" s="121">
        <v>2118</v>
      </c>
      <c r="L479" s="39" t="str">
        <f>IFERROR(VLOOKUP(Table6[[#This Row],[Error Code]],'Basic Data'!$T:$U,2,0),"")</f>
        <v>Bus Error - Interbus Failure</v>
      </c>
      <c r="M479" s="364" t="s">
        <v>462</v>
      </c>
      <c r="O479" s="365">
        <v>0.66249999999999998</v>
      </c>
      <c r="P479" s="365">
        <v>0.69791666666666663</v>
      </c>
      <c r="Q479" s="365">
        <v>0.69930555555555551</v>
      </c>
      <c r="R479" s="366">
        <f>IF(Table6[[#This Row],[Work Start TimeStamp]]="","",(Table6[[#This Row],[Work Start TimeStamp]]-Table6[[#This Row],[Fault Start TimeStamp]])*24)</f>
        <v>0.84999999999999964</v>
      </c>
      <c r="S479" s="367">
        <f>(Table6[[#This Row],[Fault Clearance time]]-Table6[[#This Row],[Work Start TimeStamp]])*24</f>
        <v>3.3333333333333215E-2</v>
      </c>
      <c r="T479" s="368">
        <f>(Table6[[#This Row],[Fault Clearance time]]-Table6[[#This Row],[Fault Start TimeStamp]])*24</f>
        <v>0.88333333333333286</v>
      </c>
      <c r="U479" s="364" t="s">
        <v>491</v>
      </c>
      <c r="V479" s="369" t="s">
        <v>463</v>
      </c>
      <c r="W479" s="354">
        <f>Table6[[#This Row],[Breakdown Time]]*(1/39)</f>
        <v>2.2649572649572635E-2</v>
      </c>
      <c r="X479" s="352" t="s">
        <v>465</v>
      </c>
      <c r="Y479" s="370" t="s">
        <v>115</v>
      </c>
      <c r="Z479" s="121">
        <v>10973</v>
      </c>
      <c r="AA479" s="123">
        <v>403.86736111111088</v>
      </c>
      <c r="AB479" s="121" t="s">
        <v>478</v>
      </c>
    </row>
    <row r="480" spans="1:28">
      <c r="A480" s="121">
        <f t="shared" si="7"/>
        <v>479</v>
      </c>
      <c r="B480" s="123">
        <f>YEAR(Table6[[#This Row],[Date]])+IF(MONTH(Table6[[#This Row],[Date]])&gt;=4,1,0)</f>
        <v>2026</v>
      </c>
      <c r="C480" s="121">
        <f>YEAR(Table6[[#This Row],[Date]])</f>
        <v>2025</v>
      </c>
      <c r="D480" s="121" t="s">
        <v>490</v>
      </c>
      <c r="E480" s="135">
        <f>Table6[[#This Row],[Date]]-DAY(Table6[[#This Row],[Date]])+1</f>
        <v>45778</v>
      </c>
      <c r="F480" s="134">
        <v>45784</v>
      </c>
      <c r="G480" s="121" t="s">
        <v>130</v>
      </c>
      <c r="H480" s="39" t="str">
        <f>_xlfn.XLOOKUP(Table6[[#This Row],[Affected WTG]],'Basic Data'!$A:$A,'Basic Data'!$B:$B)</f>
        <v>PWEGPL</v>
      </c>
      <c r="I480" s="39" t="str">
        <f>_xlfn.XLOOKUP(Table6[[#This Row],[Affected WTG]],'Basic Data'!$A:$A,'Basic Data'!$C:$C)</f>
        <v>MSEDCL</v>
      </c>
      <c r="J480" s="363">
        <f>IFERROR(VLOOKUP(Table6[[#This Row],[Affected WTG]],'Basic Data'!$A$3:$E$56,5,0),"")</f>
        <v>2.564102564102564E-2</v>
      </c>
      <c r="K480" s="121">
        <v>2118</v>
      </c>
      <c r="L480" s="39" t="str">
        <f>IFERROR(VLOOKUP(Table6[[#This Row],[Error Code]],'Basic Data'!$T:$U,2,0),"")</f>
        <v>Bus Error - Interbus Failure</v>
      </c>
      <c r="M480" s="364" t="s">
        <v>462</v>
      </c>
      <c r="O480" s="365">
        <v>0.66597222222222219</v>
      </c>
      <c r="P480" s="365">
        <v>0.68055555555555558</v>
      </c>
      <c r="Q480" s="365">
        <v>0.68194444444444446</v>
      </c>
      <c r="R480" s="366">
        <f>IF(Table6[[#This Row],[Work Start TimeStamp]]="","",(Table6[[#This Row],[Work Start TimeStamp]]-Table6[[#This Row],[Fault Start TimeStamp]])*24)</f>
        <v>0.35000000000000142</v>
      </c>
      <c r="S480" s="367">
        <f>(Table6[[#This Row],[Fault Clearance time]]-Table6[[#This Row],[Work Start TimeStamp]])*24</f>
        <v>3.3333333333333215E-2</v>
      </c>
      <c r="T480" s="368">
        <f>(Table6[[#This Row],[Fault Clearance time]]-Table6[[#This Row],[Fault Start TimeStamp]])*24</f>
        <v>0.38333333333333464</v>
      </c>
      <c r="U480" s="364" t="s">
        <v>491</v>
      </c>
      <c r="V480" s="369" t="s">
        <v>463</v>
      </c>
      <c r="W480" s="354">
        <f>Table6[[#This Row],[Breakdown Time]]*(1/39)</f>
        <v>9.8290598290598618E-3</v>
      </c>
      <c r="X480" s="352" t="s">
        <v>465</v>
      </c>
      <c r="Y480" s="370" t="s">
        <v>131</v>
      </c>
      <c r="Z480" s="121">
        <v>14472</v>
      </c>
      <c r="AA480" s="123">
        <v>231.15000000000077</v>
      </c>
      <c r="AB480" s="121" t="s">
        <v>478</v>
      </c>
    </row>
    <row r="481" spans="1:28">
      <c r="A481" s="121">
        <f t="shared" si="7"/>
        <v>480</v>
      </c>
      <c r="B481" s="123">
        <f>YEAR(Table6[[#This Row],[Date]])+IF(MONTH(Table6[[#This Row],[Date]])&gt;=4,1,0)</f>
        <v>2026</v>
      </c>
      <c r="C481" s="121">
        <f>YEAR(Table6[[#This Row],[Date]])</f>
        <v>2025</v>
      </c>
      <c r="D481" s="121" t="s">
        <v>490</v>
      </c>
      <c r="E481" s="135">
        <f>Table6[[#This Row],[Date]]-DAY(Table6[[#This Row],[Date]])+1</f>
        <v>45778</v>
      </c>
      <c r="F481" s="134">
        <v>45784</v>
      </c>
      <c r="G481" s="121" t="s">
        <v>132</v>
      </c>
      <c r="H481" s="39" t="str">
        <f>_xlfn.XLOOKUP(Table6[[#This Row],[Affected WTG]],'Basic Data'!$A:$A,'Basic Data'!$B:$B)</f>
        <v>PWEGPL</v>
      </c>
      <c r="I481" s="39" t="str">
        <f>_xlfn.XLOOKUP(Table6[[#This Row],[Affected WTG]],'Basic Data'!$A:$A,'Basic Data'!$C:$C)</f>
        <v>MSEDCL</v>
      </c>
      <c r="J481" s="363">
        <f>IFERROR(VLOOKUP(Table6[[#This Row],[Affected WTG]],'Basic Data'!$A$3:$E$56,5,0),"")</f>
        <v>2.564102564102564E-2</v>
      </c>
      <c r="K481" s="121">
        <v>5205</v>
      </c>
      <c r="L481" s="39" t="str">
        <f>IFERROR(VLOOKUP(Table6[[#This Row],[Error Code]],'Basic Data'!$T:$U,2,0),"")</f>
        <v>Magnetothermic Of The Stator Protection Failure Or Door Open</v>
      </c>
      <c r="M481" s="364" t="s">
        <v>462</v>
      </c>
      <c r="O481" s="365">
        <v>0.66319444444444442</v>
      </c>
      <c r="P481" s="365">
        <v>0.69097222222222221</v>
      </c>
      <c r="Q481" s="365">
        <v>0.69722222222222219</v>
      </c>
      <c r="R481" s="366">
        <f>IF(Table6[[#This Row],[Work Start TimeStamp]]="","",(Table6[[#This Row],[Work Start TimeStamp]]-Table6[[#This Row],[Fault Start TimeStamp]])*24)</f>
        <v>0.66666666666666696</v>
      </c>
      <c r="S481" s="367">
        <f>(Table6[[#This Row],[Fault Clearance time]]-Table6[[#This Row],[Work Start TimeStamp]])*24</f>
        <v>0.14999999999999947</v>
      </c>
      <c r="T481" s="368">
        <f>(Table6[[#This Row],[Fault Clearance time]]-Table6[[#This Row],[Fault Start TimeStamp]])*24</f>
        <v>0.81666666666666643</v>
      </c>
      <c r="U481" s="364" t="s">
        <v>491</v>
      </c>
      <c r="V481" s="369" t="s">
        <v>463</v>
      </c>
      <c r="W481" s="354">
        <f>Table6[[#This Row],[Breakdown Time]]*(1/39)</f>
        <v>2.0940170940170932E-2</v>
      </c>
      <c r="X481" s="352" t="s">
        <v>465</v>
      </c>
      <c r="Y481" s="370" t="s">
        <v>133</v>
      </c>
      <c r="Z481" s="121">
        <v>14535</v>
      </c>
      <c r="AA481" s="123">
        <v>494.59374999999983</v>
      </c>
      <c r="AB481" s="121" t="s">
        <v>478</v>
      </c>
    </row>
    <row r="482" spans="1:28">
      <c r="A482" s="121">
        <f t="shared" si="7"/>
        <v>481</v>
      </c>
      <c r="B482" s="123">
        <f>YEAR(Table6[[#This Row],[Date]])+IF(MONTH(Table6[[#This Row],[Date]])&gt;=4,1,0)</f>
        <v>2026</v>
      </c>
      <c r="C482" s="121">
        <f>YEAR(Table6[[#This Row],[Date]])</f>
        <v>2025</v>
      </c>
      <c r="D482" s="121" t="s">
        <v>490</v>
      </c>
      <c r="E482" s="135">
        <f>Table6[[#This Row],[Date]]-DAY(Table6[[#This Row],[Date]])+1</f>
        <v>45778</v>
      </c>
      <c r="F482" s="134">
        <v>45784</v>
      </c>
      <c r="G482" s="121" t="s">
        <v>135</v>
      </c>
      <c r="H482" s="39" t="str">
        <f>_xlfn.XLOOKUP(Table6[[#This Row],[Affected WTG]],'Basic Data'!$A:$A,'Basic Data'!$B:$B)</f>
        <v>PWEGPL</v>
      </c>
      <c r="I482" s="39" t="str">
        <f>_xlfn.XLOOKUP(Table6[[#This Row],[Affected WTG]],'Basic Data'!$A:$A,'Basic Data'!$C:$C)</f>
        <v>MSEDCL</v>
      </c>
      <c r="J482" s="363">
        <f>IFERROR(VLOOKUP(Table6[[#This Row],[Affected WTG]],'Basic Data'!$A$3:$E$56,5,0),"")</f>
        <v>2.564102564102564E-2</v>
      </c>
      <c r="K482" s="121">
        <v>5219</v>
      </c>
      <c r="L482" s="39" t="str">
        <f>IFERROR(VLOOKUP(Table6[[#This Row],[Error Code]],'Basic Data'!$T:$U,2,0),"")</f>
        <v>Coolant Of The Coolant Circuit Failure</v>
      </c>
      <c r="M482" s="364" t="s">
        <v>462</v>
      </c>
      <c r="O482" s="365">
        <v>0.69027777777777777</v>
      </c>
      <c r="P482" s="365">
        <v>0.78472222222222221</v>
      </c>
      <c r="Q482" s="365">
        <v>0.78611111111111109</v>
      </c>
      <c r="R482" s="366">
        <f>IF(Table6[[#This Row],[Work Start TimeStamp]]="","",(Table6[[#This Row],[Work Start TimeStamp]]-Table6[[#This Row],[Fault Start TimeStamp]])*24)</f>
        <v>2.2666666666666666</v>
      </c>
      <c r="S482" s="367">
        <f>(Table6[[#This Row],[Fault Clearance time]]-Table6[[#This Row],[Work Start TimeStamp]])*24</f>
        <v>3.3333333333333215E-2</v>
      </c>
      <c r="T482" s="368">
        <f>(Table6[[#This Row],[Fault Clearance time]]-Table6[[#This Row],[Fault Start TimeStamp]])*24</f>
        <v>2.2999999999999998</v>
      </c>
      <c r="U482" s="364" t="s">
        <v>491</v>
      </c>
      <c r="V482" s="369" t="s">
        <v>463</v>
      </c>
      <c r="W482" s="354">
        <f>Table6[[#This Row],[Breakdown Time]]*(1/39)</f>
        <v>5.8974358974358966E-2</v>
      </c>
      <c r="X482" s="352" t="s">
        <v>465</v>
      </c>
      <c r="Y482" s="370" t="s">
        <v>136</v>
      </c>
      <c r="Z482" s="121">
        <v>4538</v>
      </c>
      <c r="AA482" s="123">
        <v>434.89166666666665</v>
      </c>
      <c r="AB482" s="121" t="s">
        <v>478</v>
      </c>
    </row>
    <row r="483" spans="1:28">
      <c r="A483" s="121">
        <f t="shared" si="7"/>
        <v>482</v>
      </c>
      <c r="B483" s="123">
        <f>YEAR(Table6[[#This Row],[Date]])+IF(MONTH(Table6[[#This Row],[Date]])&gt;=4,1,0)</f>
        <v>2026</v>
      </c>
      <c r="C483" s="121">
        <f>YEAR(Table6[[#This Row],[Date]])</f>
        <v>2025</v>
      </c>
      <c r="D483" s="121" t="s">
        <v>490</v>
      </c>
      <c r="E483" s="135">
        <f>Table6[[#This Row],[Date]]-DAY(Table6[[#This Row],[Date]])+1</f>
        <v>45778</v>
      </c>
      <c r="F483" s="134">
        <v>45784</v>
      </c>
      <c r="G483" s="121" t="s">
        <v>136</v>
      </c>
      <c r="H483" s="39" t="str">
        <f>_xlfn.XLOOKUP(Table6[[#This Row],[Affected WTG]],'Basic Data'!$A:$A,'Basic Data'!$B:$B)</f>
        <v>PWEGPL</v>
      </c>
      <c r="I483" s="39" t="str">
        <f>_xlfn.XLOOKUP(Table6[[#This Row],[Affected WTG]],'Basic Data'!$A:$A,'Basic Data'!$C:$C)</f>
        <v>MSEDCL</v>
      </c>
      <c r="J483" s="363">
        <f>IFERROR(VLOOKUP(Table6[[#This Row],[Affected WTG]],'Basic Data'!$A$3:$E$56,5,0),"")</f>
        <v>2.564102564102564E-2</v>
      </c>
      <c r="K483" s="121">
        <v>5203</v>
      </c>
      <c r="L483" s="39" t="str">
        <f>IFERROR(VLOOKUP(Table6[[#This Row],[Error Code]],'Basic Data'!$T:$U,2,0),"")</f>
        <v>Heating/Coolant Thermal Magnetic Failure</v>
      </c>
      <c r="M483" s="364" t="s">
        <v>462</v>
      </c>
      <c r="O483" s="365">
        <v>0.64583333333333337</v>
      </c>
      <c r="P483" s="365">
        <v>0.6958333333333333</v>
      </c>
      <c r="Q483" s="365">
        <v>0.8</v>
      </c>
      <c r="R483" s="366">
        <f>IF(Table6[[#This Row],[Work Start TimeStamp]]="","",(Table6[[#This Row],[Work Start TimeStamp]]-Table6[[#This Row],[Fault Start TimeStamp]])*24)</f>
        <v>1.1999999999999984</v>
      </c>
      <c r="S483" s="367">
        <f>(Table6[[#This Row],[Fault Clearance time]]-Table6[[#This Row],[Work Start TimeStamp]])*24</f>
        <v>2.5000000000000018</v>
      </c>
      <c r="T483" s="368">
        <f>(Table6[[#This Row],[Fault Clearance time]]-Table6[[#This Row],[Fault Start TimeStamp]])*24</f>
        <v>3.7</v>
      </c>
      <c r="U483" s="364" t="s">
        <v>586</v>
      </c>
      <c r="V483" s="369" t="s">
        <v>463</v>
      </c>
      <c r="W483" s="354">
        <f>Table6[[#This Row],[Breakdown Time]]*(1/39)</f>
        <v>9.4871794871794868E-2</v>
      </c>
      <c r="X483" s="352" t="s">
        <v>465</v>
      </c>
      <c r="Y483" s="370" t="s">
        <v>119</v>
      </c>
      <c r="Z483" s="121">
        <v>8461</v>
      </c>
      <c r="AA483" s="123">
        <v>1304.4041666666667</v>
      </c>
      <c r="AB483" s="121" t="s">
        <v>478</v>
      </c>
    </row>
    <row r="484" spans="1:28">
      <c r="A484" s="121">
        <f t="shared" si="7"/>
        <v>483</v>
      </c>
      <c r="B484" s="123">
        <f>YEAR(Table6[[#This Row],[Date]])+IF(MONTH(Table6[[#This Row],[Date]])&gt;=4,1,0)</f>
        <v>2026</v>
      </c>
      <c r="C484" s="121">
        <f>YEAR(Table6[[#This Row],[Date]])</f>
        <v>2025</v>
      </c>
      <c r="D484" s="121" t="s">
        <v>490</v>
      </c>
      <c r="E484" s="135">
        <f>Table6[[#This Row],[Date]]-DAY(Table6[[#This Row],[Date]])+1</f>
        <v>45778</v>
      </c>
      <c r="F484" s="134">
        <v>45784</v>
      </c>
      <c r="G484" s="121" t="s">
        <v>137</v>
      </c>
      <c r="H484" s="39" t="str">
        <f>_xlfn.XLOOKUP(Table6[[#This Row],[Affected WTG]],'Basic Data'!$A:$A,'Basic Data'!$B:$B)</f>
        <v>PWEGPL</v>
      </c>
      <c r="I484" s="39" t="str">
        <f>_xlfn.XLOOKUP(Table6[[#This Row],[Affected WTG]],'Basic Data'!$A:$A,'Basic Data'!$C:$C)</f>
        <v>MSEDCL</v>
      </c>
      <c r="J484" s="363">
        <f>IFERROR(VLOOKUP(Table6[[#This Row],[Affected WTG]],'Basic Data'!$A$3:$E$56,5,0),"")</f>
        <v>2.564102564102564E-2</v>
      </c>
      <c r="K484" s="121">
        <v>2118</v>
      </c>
      <c r="L484" s="39" t="str">
        <f>IFERROR(VLOOKUP(Table6[[#This Row],[Error Code]],'Basic Data'!$T:$U,2,0),"")</f>
        <v>Bus Error - Interbus Failure</v>
      </c>
      <c r="M484" s="364" t="s">
        <v>462</v>
      </c>
      <c r="O484" s="365">
        <v>0.65972222222222221</v>
      </c>
      <c r="P484" s="365">
        <v>0.79097222222222219</v>
      </c>
      <c r="Q484" s="365">
        <v>0.79236111111111107</v>
      </c>
      <c r="R484" s="366">
        <f>IF(Table6[[#This Row],[Work Start TimeStamp]]="","",(Table6[[#This Row],[Work Start TimeStamp]]-Table6[[#This Row],[Fault Start TimeStamp]])*24)</f>
        <v>3.1499999999999995</v>
      </c>
      <c r="S484" s="367">
        <f>(Table6[[#This Row],[Fault Clearance time]]-Table6[[#This Row],[Work Start TimeStamp]])*24</f>
        <v>3.3333333333333215E-2</v>
      </c>
      <c r="T484" s="368">
        <f>(Table6[[#This Row],[Fault Clearance time]]-Table6[[#This Row],[Fault Start TimeStamp]])*24</f>
        <v>3.1833333333333327</v>
      </c>
      <c r="U484" s="364" t="s">
        <v>491</v>
      </c>
      <c r="V484" s="369" t="s">
        <v>463</v>
      </c>
      <c r="W484" s="354">
        <f>Table6[[#This Row],[Breakdown Time]]*(1/39)</f>
        <v>8.1623931623931598E-2</v>
      </c>
      <c r="X484" s="352" t="s">
        <v>465</v>
      </c>
      <c r="Y484" s="370" t="s">
        <v>119</v>
      </c>
      <c r="Z484" s="121">
        <v>8461</v>
      </c>
      <c r="AA484" s="123">
        <v>1122.2576388888888</v>
      </c>
      <c r="AB484" s="121" t="s">
        <v>478</v>
      </c>
    </row>
    <row r="485" spans="1:28">
      <c r="A485" s="121">
        <f t="shared" si="7"/>
        <v>484</v>
      </c>
      <c r="B485" s="123">
        <f>YEAR(Table6[[#This Row],[Date]])+IF(MONTH(Table6[[#This Row],[Date]])&gt;=4,1,0)</f>
        <v>2026</v>
      </c>
      <c r="C485" s="121">
        <f>YEAR(Table6[[#This Row],[Date]])</f>
        <v>2025</v>
      </c>
      <c r="D485" s="121" t="s">
        <v>490</v>
      </c>
      <c r="E485" s="135">
        <f>Table6[[#This Row],[Date]]-DAY(Table6[[#This Row],[Date]])+1</f>
        <v>45778</v>
      </c>
      <c r="F485" s="134">
        <v>45784</v>
      </c>
      <c r="G485" s="121" t="s">
        <v>138</v>
      </c>
      <c r="H485" s="39" t="str">
        <f>_xlfn.XLOOKUP(Table6[[#This Row],[Affected WTG]],'Basic Data'!$A:$A,'Basic Data'!$B:$B)</f>
        <v>PWEGPL</v>
      </c>
      <c r="I485" s="39" t="str">
        <f>_xlfn.XLOOKUP(Table6[[#This Row],[Affected WTG]],'Basic Data'!$A:$A,'Basic Data'!$C:$C)</f>
        <v>MSEDCL</v>
      </c>
      <c r="J485" s="363">
        <f>IFERROR(VLOOKUP(Table6[[#This Row],[Affected WTG]],'Basic Data'!$A$3:$E$56,5,0),"")</f>
        <v>2.564102564102564E-2</v>
      </c>
      <c r="K485" s="121" t="s">
        <v>492</v>
      </c>
      <c r="L485" s="39" t="str">
        <f>IFERROR(VLOOKUP(Table6[[#This Row],[Error Code]],'Basic Data'!$T:$U,2,0),"")</f>
        <v>Manual Stop - Safety Related</v>
      </c>
      <c r="M485" s="364" t="s">
        <v>481</v>
      </c>
      <c r="O485" s="365">
        <v>0.47916666666666669</v>
      </c>
      <c r="P485" s="365">
        <v>0.47916666666666669</v>
      </c>
      <c r="Q485" s="365">
        <v>0.61597222222222225</v>
      </c>
      <c r="R485" s="366">
        <f>IF(Table6[[#This Row],[Work Start TimeStamp]]="","",(Table6[[#This Row],[Work Start TimeStamp]]-Table6[[#This Row],[Fault Start TimeStamp]])*24)</f>
        <v>0</v>
      </c>
      <c r="S485" s="367">
        <f>(Table6[[#This Row],[Fault Clearance time]]-Table6[[#This Row],[Work Start TimeStamp]])*24</f>
        <v>3.2833333333333337</v>
      </c>
      <c r="T485" s="368">
        <f>(Table6[[#This Row],[Fault Clearance time]]-Table6[[#This Row],[Fault Start TimeStamp]])*24</f>
        <v>3.2833333333333337</v>
      </c>
      <c r="U485" s="364" t="s">
        <v>508</v>
      </c>
      <c r="V485" s="369" t="s">
        <v>463</v>
      </c>
      <c r="W485" s="354">
        <f>Table6[[#This Row],[Breakdown Time]]*(1/39)</f>
        <v>8.4188034188034194E-2</v>
      </c>
      <c r="X485" s="352" t="s">
        <v>468</v>
      </c>
      <c r="Y485" s="370" t="s">
        <v>140</v>
      </c>
      <c r="Z485" s="121">
        <v>9472</v>
      </c>
      <c r="AA485" s="123">
        <v>1295.8222222222223</v>
      </c>
      <c r="AB485" s="121" t="s">
        <v>478</v>
      </c>
    </row>
    <row r="486" spans="1:28">
      <c r="A486" s="121">
        <f t="shared" si="7"/>
        <v>485</v>
      </c>
      <c r="B486" s="123">
        <f>YEAR(Table6[[#This Row],[Date]])+IF(MONTH(Table6[[#This Row],[Date]])&gt;=4,1,0)</f>
        <v>2026</v>
      </c>
      <c r="C486" s="121">
        <f>YEAR(Table6[[#This Row],[Date]])</f>
        <v>2025</v>
      </c>
      <c r="D486" s="121" t="s">
        <v>490</v>
      </c>
      <c r="E486" s="135">
        <f>Table6[[#This Row],[Date]]-DAY(Table6[[#This Row],[Date]])+1</f>
        <v>45778</v>
      </c>
      <c r="F486" s="134">
        <v>45784</v>
      </c>
      <c r="G486" s="121" t="s">
        <v>143</v>
      </c>
      <c r="H486" s="39" t="str">
        <f>_xlfn.XLOOKUP(Table6[[#This Row],[Affected WTG]],'Basic Data'!$A:$A,'Basic Data'!$B:$B)</f>
        <v>PWEGPL</v>
      </c>
      <c r="I486" s="39" t="str">
        <f>_xlfn.XLOOKUP(Table6[[#This Row],[Affected WTG]],'Basic Data'!$A:$A,'Basic Data'!$C:$C)</f>
        <v>MSEDCL</v>
      </c>
      <c r="J486" s="363">
        <f>IFERROR(VLOOKUP(Table6[[#This Row],[Affected WTG]],'Basic Data'!$A$3:$E$56,5,0),"")</f>
        <v>2.564102564102564E-2</v>
      </c>
      <c r="K486" s="121">
        <v>2118</v>
      </c>
      <c r="L486" s="39" t="str">
        <f>IFERROR(VLOOKUP(Table6[[#This Row],[Error Code]],'Basic Data'!$T:$U,2,0),"")</f>
        <v>Bus Error - Interbus Failure</v>
      </c>
      <c r="M486" s="364" t="s">
        <v>462</v>
      </c>
      <c r="O486" s="365">
        <v>0.70138888888888884</v>
      </c>
      <c r="P486" s="365">
        <v>0.78125</v>
      </c>
      <c r="Q486" s="365">
        <v>0.78263888888888888</v>
      </c>
      <c r="R486" s="366">
        <f>IF(Table6[[#This Row],[Work Start TimeStamp]]="","",(Table6[[#This Row],[Work Start TimeStamp]]-Table6[[#This Row],[Fault Start TimeStamp]])*24)</f>
        <v>1.9166666666666679</v>
      </c>
      <c r="S486" s="367">
        <f>(Table6[[#This Row],[Fault Clearance time]]-Table6[[#This Row],[Work Start TimeStamp]])*24</f>
        <v>3.3333333333333215E-2</v>
      </c>
      <c r="T486" s="368">
        <f>(Table6[[#This Row],[Fault Clearance time]]-Table6[[#This Row],[Fault Start TimeStamp]])*24</f>
        <v>1.9500000000000011</v>
      </c>
      <c r="U486" s="364" t="s">
        <v>491</v>
      </c>
      <c r="V486" s="369" t="s">
        <v>463</v>
      </c>
      <c r="W486" s="354">
        <f>Table6[[#This Row],[Breakdown Time]]*(1/39)</f>
        <v>5.0000000000000024E-2</v>
      </c>
      <c r="X486" s="352" t="s">
        <v>465</v>
      </c>
      <c r="Y486" s="370" t="s">
        <v>141</v>
      </c>
      <c r="Z486" s="121">
        <v>9453</v>
      </c>
      <c r="AA486" s="123">
        <v>768.05625000000043</v>
      </c>
      <c r="AB486" s="121" t="s">
        <v>478</v>
      </c>
    </row>
    <row r="487" spans="1:28">
      <c r="A487" s="121">
        <f t="shared" si="7"/>
        <v>486</v>
      </c>
      <c r="B487" s="123">
        <f>YEAR(Table6[[#This Row],[Date]])+IF(MONTH(Table6[[#This Row],[Date]])&gt;=4,1,0)</f>
        <v>2026</v>
      </c>
      <c r="C487" s="121">
        <f>YEAR(Table6[[#This Row],[Date]])</f>
        <v>2025</v>
      </c>
      <c r="D487" s="121" t="s">
        <v>490</v>
      </c>
      <c r="E487" s="135">
        <f>Table6[[#This Row],[Date]]-DAY(Table6[[#This Row],[Date]])+1</f>
        <v>45778</v>
      </c>
      <c r="F487" s="134">
        <v>45784</v>
      </c>
      <c r="G487" s="121" t="s">
        <v>147</v>
      </c>
      <c r="H487" s="39" t="str">
        <f>_xlfn.XLOOKUP(Table6[[#This Row],[Affected WTG]],'Basic Data'!$A:$A,'Basic Data'!$B:$B)</f>
        <v>PWEGPL</v>
      </c>
      <c r="I487" s="39" t="str">
        <f>_xlfn.XLOOKUP(Table6[[#This Row],[Affected WTG]],'Basic Data'!$A:$A,'Basic Data'!$C:$C)</f>
        <v>MSEDCL</v>
      </c>
      <c r="J487" s="363">
        <f>IFERROR(VLOOKUP(Table6[[#This Row],[Affected WTG]],'Basic Data'!$A$3:$E$56,5,0),"")</f>
        <v>2.564102564102564E-2</v>
      </c>
      <c r="K487" s="121">
        <v>2118</v>
      </c>
      <c r="L487" s="39" t="str">
        <f>IFERROR(VLOOKUP(Table6[[#This Row],[Error Code]],'Basic Data'!$T:$U,2,0),"")</f>
        <v>Bus Error - Interbus Failure</v>
      </c>
      <c r="M487" s="364" t="s">
        <v>462</v>
      </c>
      <c r="O487" s="365">
        <v>0.70694444444444449</v>
      </c>
      <c r="P487" s="365">
        <v>0.79166666666666663</v>
      </c>
      <c r="Q487" s="365">
        <v>0.79305555555555551</v>
      </c>
      <c r="R487" s="366">
        <f>IF(Table6[[#This Row],[Work Start TimeStamp]]="","",(Table6[[#This Row],[Work Start TimeStamp]]-Table6[[#This Row],[Fault Start TimeStamp]])*24)</f>
        <v>2.0333333333333314</v>
      </c>
      <c r="S487" s="367">
        <f>(Table6[[#This Row],[Fault Clearance time]]-Table6[[#This Row],[Work Start TimeStamp]])*24</f>
        <v>3.3333333333333215E-2</v>
      </c>
      <c r="T487" s="368">
        <f>(Table6[[#This Row],[Fault Clearance time]]-Table6[[#This Row],[Fault Start TimeStamp]])*24</f>
        <v>2.0666666666666647</v>
      </c>
      <c r="U487" s="364" t="s">
        <v>491</v>
      </c>
      <c r="V487" s="369" t="s">
        <v>463</v>
      </c>
      <c r="W487" s="354">
        <f>Table6[[#This Row],[Breakdown Time]]*(1/39)</f>
        <v>5.2991452991452935E-2</v>
      </c>
      <c r="X487" s="352" t="s">
        <v>465</v>
      </c>
      <c r="Y487" s="370" t="s">
        <v>146</v>
      </c>
      <c r="Z487" s="121">
        <v>4790</v>
      </c>
      <c r="AA487" s="123">
        <v>412.47222222222183</v>
      </c>
      <c r="AB487" s="121" t="s">
        <v>478</v>
      </c>
    </row>
    <row r="488" spans="1:28">
      <c r="A488" s="121">
        <f t="shared" si="7"/>
        <v>487</v>
      </c>
      <c r="B488" s="123">
        <f>YEAR(Table6[[#This Row],[Date]])+IF(MONTH(Table6[[#This Row],[Date]])&gt;=4,1,0)</f>
        <v>2026</v>
      </c>
      <c r="C488" s="121">
        <f>YEAR(Table6[[#This Row],[Date]])</f>
        <v>2025</v>
      </c>
      <c r="D488" s="121" t="s">
        <v>490</v>
      </c>
      <c r="E488" s="135">
        <f>Table6[[#This Row],[Date]]-DAY(Table6[[#This Row],[Date]])+1</f>
        <v>45778</v>
      </c>
      <c r="F488" s="134">
        <v>45784</v>
      </c>
      <c r="G488" s="121" t="s">
        <v>150</v>
      </c>
      <c r="H488" s="39" t="str">
        <f>_xlfn.XLOOKUP(Table6[[#This Row],[Affected WTG]],'Basic Data'!$A:$A,'Basic Data'!$B:$B)</f>
        <v>PWEGPL</v>
      </c>
      <c r="I488" s="39" t="str">
        <f>_xlfn.XLOOKUP(Table6[[#This Row],[Affected WTG]],'Basic Data'!$A:$A,'Basic Data'!$C:$C)</f>
        <v>MSEDCL</v>
      </c>
      <c r="J488" s="363">
        <f>IFERROR(VLOOKUP(Table6[[#This Row],[Affected WTG]],'Basic Data'!$A$3:$E$56,5,0),"")</f>
        <v>2.564102564102564E-2</v>
      </c>
      <c r="K488" s="121">
        <v>205</v>
      </c>
      <c r="L488" s="39" t="str">
        <f>IFERROR(VLOOKUP(Table6[[#This Row],[Error Code]],'Basic Data'!$T:$U,2,0),"")</f>
        <v>Low Level Hydraulic Group Refrigeration Oil</v>
      </c>
      <c r="M488" s="364" t="s">
        <v>462</v>
      </c>
      <c r="O488" s="365">
        <v>0.6791666666666667</v>
      </c>
      <c r="P488" s="365">
        <v>0.80208333333333337</v>
      </c>
      <c r="Q488" s="365">
        <v>0.80347222222222225</v>
      </c>
      <c r="R488" s="366">
        <f>IF(Table6[[#This Row],[Work Start TimeStamp]]="","",(Table6[[#This Row],[Work Start TimeStamp]]-Table6[[#This Row],[Fault Start TimeStamp]])*24)</f>
        <v>2.95</v>
      </c>
      <c r="S488" s="367">
        <f>(Table6[[#This Row],[Fault Clearance time]]-Table6[[#This Row],[Work Start TimeStamp]])*24</f>
        <v>3.3333333333333215E-2</v>
      </c>
      <c r="T488" s="368">
        <f>(Table6[[#This Row],[Fault Clearance time]]-Table6[[#This Row],[Fault Start TimeStamp]])*24</f>
        <v>2.9833333333333334</v>
      </c>
      <c r="U488" s="364" t="s">
        <v>493</v>
      </c>
      <c r="V488" s="369" t="s">
        <v>463</v>
      </c>
      <c r="W488" s="354">
        <f>Table6[[#This Row],[Breakdown Time]]*(1/39)</f>
        <v>7.6495726495726502E-2</v>
      </c>
      <c r="X488" s="352" t="s">
        <v>465</v>
      </c>
      <c r="Y488" s="370" t="s">
        <v>149</v>
      </c>
      <c r="Z488" s="121">
        <v>4762</v>
      </c>
      <c r="AA488" s="123">
        <v>591.94305555555559</v>
      </c>
      <c r="AB488" s="121" t="s">
        <v>478</v>
      </c>
    </row>
    <row r="489" spans="1:28">
      <c r="A489" s="121">
        <f t="shared" si="7"/>
        <v>488</v>
      </c>
      <c r="B489" s="123">
        <f>YEAR(Table6[[#This Row],[Date]])+IF(MONTH(Table6[[#This Row],[Date]])&gt;=4,1,0)</f>
        <v>2026</v>
      </c>
      <c r="C489" s="121">
        <f>YEAR(Table6[[#This Row],[Date]])</f>
        <v>2025</v>
      </c>
      <c r="D489" s="121" t="s">
        <v>490</v>
      </c>
      <c r="E489" s="135">
        <f>Table6[[#This Row],[Date]]-DAY(Table6[[#This Row],[Date]])+1</f>
        <v>45778</v>
      </c>
      <c r="F489" s="134">
        <v>45784</v>
      </c>
      <c r="G489" s="121" t="s">
        <v>151</v>
      </c>
      <c r="H489" s="39" t="str">
        <f>_xlfn.XLOOKUP(Table6[[#This Row],[Affected WTG]],'Basic Data'!$A:$A,'Basic Data'!$B:$B)</f>
        <v>PWEGPL</v>
      </c>
      <c r="I489" s="39" t="str">
        <f>_xlfn.XLOOKUP(Table6[[#This Row],[Affected WTG]],'Basic Data'!$A:$A,'Basic Data'!$C:$C)</f>
        <v>MSEDCL</v>
      </c>
      <c r="J489" s="363">
        <f>IFERROR(VLOOKUP(Table6[[#This Row],[Affected WTG]],'Basic Data'!$A$3:$E$56,5,0),"")</f>
        <v>2.564102564102564E-2</v>
      </c>
      <c r="K489" s="121" t="s">
        <v>476</v>
      </c>
      <c r="L489" s="39" t="str">
        <f>IFERROR(VLOOKUP(Table6[[#This Row],[Error Code]],'Basic Data'!$T:$U,2,0),"")</f>
        <v>Manual Stop - Preventive Maintenance Activity</v>
      </c>
      <c r="M489" s="364" t="s">
        <v>474</v>
      </c>
      <c r="O489" s="365">
        <v>0.47916666666666669</v>
      </c>
      <c r="P489" s="365">
        <v>0.47916666666666669</v>
      </c>
      <c r="Q489" s="365">
        <v>0.7416666666666667</v>
      </c>
      <c r="R489" s="366">
        <f>IF(Table6[[#This Row],[Work Start TimeStamp]]="","",(Table6[[#This Row],[Work Start TimeStamp]]-Table6[[#This Row],[Fault Start TimeStamp]])*24)</f>
        <v>0</v>
      </c>
      <c r="S489" s="367">
        <f>(Table6[[#This Row],[Fault Clearance time]]-Table6[[#This Row],[Work Start TimeStamp]])*24</f>
        <v>6.3000000000000007</v>
      </c>
      <c r="T489" s="368">
        <f>(Table6[[#This Row],[Fault Clearance time]]-Table6[[#This Row],[Fault Start TimeStamp]])*24</f>
        <v>6.3000000000000007</v>
      </c>
      <c r="U489" s="364" t="s">
        <v>567</v>
      </c>
      <c r="V489" s="369" t="s">
        <v>463</v>
      </c>
      <c r="W489" s="354">
        <f>Table6[[#This Row],[Breakdown Time]]*(1/39)</f>
        <v>0.16153846153846155</v>
      </c>
      <c r="X489" s="352" t="s">
        <v>467</v>
      </c>
      <c r="Y489" s="370" t="s">
        <v>152</v>
      </c>
      <c r="Z489" s="121">
        <v>6794</v>
      </c>
      <c r="AA489" s="123">
        <v>1783.4250000000002</v>
      </c>
      <c r="AB489" s="121" t="s">
        <v>478</v>
      </c>
    </row>
    <row r="490" spans="1:28">
      <c r="A490" s="121">
        <f t="shared" si="7"/>
        <v>489</v>
      </c>
      <c r="B490" s="123">
        <f>YEAR(Table6[[#This Row],[Date]])+IF(MONTH(Table6[[#This Row],[Date]])&gt;=4,1,0)</f>
        <v>2026</v>
      </c>
      <c r="C490" s="121">
        <f>YEAR(Table6[[#This Row],[Date]])</f>
        <v>2025</v>
      </c>
      <c r="D490" s="121" t="s">
        <v>490</v>
      </c>
      <c r="E490" s="135">
        <f>Table6[[#This Row],[Date]]-DAY(Table6[[#This Row],[Date]])+1</f>
        <v>45778</v>
      </c>
      <c r="F490" s="134">
        <v>45785</v>
      </c>
      <c r="G490" s="121" t="s">
        <v>144</v>
      </c>
      <c r="H490" s="39" t="str">
        <f>_xlfn.XLOOKUP(Table6[[#This Row],[Affected WTG]],'Basic Data'!$A:$A,'Basic Data'!$B:$B)</f>
        <v>PWEGPL</v>
      </c>
      <c r="I490" s="39" t="str">
        <f>_xlfn.XLOOKUP(Table6[[#This Row],[Affected WTG]],'Basic Data'!$A:$A,'Basic Data'!$C:$C)</f>
        <v>MSEDCL</v>
      </c>
      <c r="J490" s="363">
        <f>IFERROR(VLOOKUP(Table6[[#This Row],[Affected WTG]],'Basic Data'!$A$3:$E$56,5,0),"")</f>
        <v>2.564102564102564E-2</v>
      </c>
      <c r="K490" s="121" t="s">
        <v>492</v>
      </c>
      <c r="L490" s="39" t="str">
        <f>IFERROR(VLOOKUP(Table6[[#This Row],[Error Code]],'Basic Data'!$T:$U,2,0),"")</f>
        <v>Manual Stop - Safety Related</v>
      </c>
      <c r="M490" s="364" t="s">
        <v>481</v>
      </c>
      <c r="O490" s="365">
        <v>0</v>
      </c>
      <c r="P490" s="365">
        <v>0.99930555555555556</v>
      </c>
      <c r="Q490" s="365">
        <v>0.99930555555555556</v>
      </c>
      <c r="R490" s="366">
        <f>IF(Table6[[#This Row],[Work Start TimeStamp]]="","",(Table6[[#This Row],[Work Start TimeStamp]]-Table6[[#This Row],[Fault Start TimeStamp]])*24)</f>
        <v>23.983333333333334</v>
      </c>
      <c r="S490" s="367">
        <f>(Table6[[#This Row],[Fault Clearance time]]-Table6[[#This Row],[Work Start TimeStamp]])*24</f>
        <v>0</v>
      </c>
      <c r="T490" s="368">
        <f>(Table6[[#This Row],[Fault Clearance time]]-Table6[[#This Row],[Fault Start TimeStamp]])*24</f>
        <v>23.983333333333334</v>
      </c>
      <c r="U490" s="364" t="s">
        <v>498</v>
      </c>
      <c r="V490" s="369" t="s">
        <v>473</v>
      </c>
      <c r="W490" s="354">
        <f>Table6[[#This Row],[Breakdown Time]]*(1/39)</f>
        <v>0.61495726495726499</v>
      </c>
      <c r="X490" s="352" t="s">
        <v>468</v>
      </c>
      <c r="Y490" s="370" t="s">
        <v>141</v>
      </c>
      <c r="Z490" s="121">
        <v>7369</v>
      </c>
      <c r="AA490" s="123">
        <v>7363.8826388888892</v>
      </c>
      <c r="AB490" s="121" t="s">
        <v>478</v>
      </c>
    </row>
    <row r="491" spans="1:28">
      <c r="A491" s="121">
        <f t="shared" si="7"/>
        <v>490</v>
      </c>
      <c r="B491" s="123">
        <f>YEAR(Table6[[#This Row],[Date]])+IF(MONTH(Table6[[#This Row],[Date]])&gt;=4,1,0)</f>
        <v>2026</v>
      </c>
      <c r="C491" s="121">
        <f>YEAR(Table6[[#This Row],[Date]])</f>
        <v>2025</v>
      </c>
      <c r="D491" s="121" t="s">
        <v>490</v>
      </c>
      <c r="E491" s="135">
        <f>Table6[[#This Row],[Date]]-DAY(Table6[[#This Row],[Date]])+1</f>
        <v>45778</v>
      </c>
      <c r="F491" s="134">
        <v>45785</v>
      </c>
      <c r="G491" s="121" t="s">
        <v>142</v>
      </c>
      <c r="H491" s="39" t="str">
        <f>_xlfn.XLOOKUP(Table6[[#This Row],[Affected WTG]],'Basic Data'!$A:$A,'Basic Data'!$B:$B)</f>
        <v>PWEGPL</v>
      </c>
      <c r="I491" s="39" t="str">
        <f>_xlfn.XLOOKUP(Table6[[#This Row],[Affected WTG]],'Basic Data'!$A:$A,'Basic Data'!$C:$C)</f>
        <v>MSEDCL</v>
      </c>
      <c r="J491" s="363">
        <f>IFERROR(VLOOKUP(Table6[[#This Row],[Affected WTG]],'Basic Data'!$A$3:$E$56,5,0),"")</f>
        <v>2.564102564102564E-2</v>
      </c>
      <c r="K491" s="121" t="s">
        <v>492</v>
      </c>
      <c r="L491" s="39" t="str">
        <f>IFERROR(VLOOKUP(Table6[[#This Row],[Error Code]],'Basic Data'!$T:$U,2,0),"")</f>
        <v>Manual Stop - Safety Related</v>
      </c>
      <c r="M491" s="364" t="s">
        <v>481</v>
      </c>
      <c r="O491" s="365">
        <v>0</v>
      </c>
      <c r="P491" s="365">
        <v>0.99930555555555556</v>
      </c>
      <c r="Q491" s="365">
        <v>0.99930555555555556</v>
      </c>
      <c r="R491" s="366">
        <f>IF(Table6[[#This Row],[Work Start TimeStamp]]="","",(Table6[[#This Row],[Work Start TimeStamp]]-Table6[[#This Row],[Fault Start TimeStamp]])*24)</f>
        <v>23.983333333333334</v>
      </c>
      <c r="S491" s="367">
        <f>(Table6[[#This Row],[Fault Clearance time]]-Table6[[#This Row],[Work Start TimeStamp]])*24</f>
        <v>0</v>
      </c>
      <c r="T491" s="368">
        <f>(Table6[[#This Row],[Fault Clearance time]]-Table6[[#This Row],[Fault Start TimeStamp]])*24</f>
        <v>23.983333333333334</v>
      </c>
      <c r="U491" s="364" t="s">
        <v>498</v>
      </c>
      <c r="V491" s="369" t="s">
        <v>473</v>
      </c>
      <c r="W491" s="354">
        <f>Table6[[#This Row],[Breakdown Time]]*(1/39)</f>
        <v>0.61495726495726499</v>
      </c>
      <c r="X491" s="352" t="s">
        <v>468</v>
      </c>
      <c r="Y491" s="370" t="s">
        <v>141</v>
      </c>
      <c r="Z491" s="121">
        <v>7369</v>
      </c>
      <c r="AA491" s="123">
        <v>7363.8826388888892</v>
      </c>
      <c r="AB491" s="121" t="s">
        <v>478</v>
      </c>
    </row>
    <row r="492" spans="1:28">
      <c r="A492" s="121">
        <f t="shared" si="7"/>
        <v>491</v>
      </c>
      <c r="B492" s="123">
        <f>YEAR(Table6[[#This Row],[Date]])+IF(MONTH(Table6[[#This Row],[Date]])&gt;=4,1,0)</f>
        <v>2026</v>
      </c>
      <c r="C492" s="121">
        <f>YEAR(Table6[[#This Row],[Date]])</f>
        <v>2025</v>
      </c>
      <c r="D492" s="121" t="s">
        <v>490</v>
      </c>
      <c r="E492" s="135">
        <f>Table6[[#This Row],[Date]]-DAY(Table6[[#This Row],[Date]])+1</f>
        <v>45778</v>
      </c>
      <c r="F492" s="134">
        <v>45785</v>
      </c>
      <c r="G492" s="121" t="s">
        <v>117</v>
      </c>
      <c r="H492" s="39" t="str">
        <f>_xlfn.XLOOKUP(Table6[[#This Row],[Affected WTG]],'Basic Data'!$A:$A,'Basic Data'!$B:$B)</f>
        <v>PWEGPL</v>
      </c>
      <c r="I492" s="39" t="str">
        <f>_xlfn.XLOOKUP(Table6[[#This Row],[Affected WTG]],'Basic Data'!$A:$A,'Basic Data'!$C:$C)</f>
        <v>MSEDCL</v>
      </c>
      <c r="J492" s="363">
        <f>IFERROR(VLOOKUP(Table6[[#This Row],[Affected WTG]],'Basic Data'!$A$3:$E$56,5,0),"")</f>
        <v>2.564102564102564E-2</v>
      </c>
      <c r="K492" s="121">
        <v>2118</v>
      </c>
      <c r="L492" s="39" t="str">
        <f>IFERROR(VLOOKUP(Table6[[#This Row],[Error Code]],'Basic Data'!$T:$U,2,0),"")</f>
        <v>Bus Error - Interbus Failure</v>
      </c>
      <c r="M492" s="364" t="s">
        <v>462</v>
      </c>
      <c r="O492" s="365">
        <v>0.54305555555555551</v>
      </c>
      <c r="P492" s="365">
        <v>0.64583333333333337</v>
      </c>
      <c r="Q492" s="365">
        <v>0.64722222222222225</v>
      </c>
      <c r="R492" s="366">
        <f>IF(Table6[[#This Row],[Work Start TimeStamp]]="","",(Table6[[#This Row],[Work Start TimeStamp]]-Table6[[#This Row],[Fault Start TimeStamp]])*24)</f>
        <v>2.4666666666666686</v>
      </c>
      <c r="S492" s="367">
        <f>(Table6[[#This Row],[Fault Clearance time]]-Table6[[#This Row],[Work Start TimeStamp]])*24</f>
        <v>3.3333333333333215E-2</v>
      </c>
      <c r="T492" s="368">
        <f>(Table6[[#This Row],[Fault Clearance time]]-Table6[[#This Row],[Fault Start TimeStamp]])*24</f>
        <v>2.5000000000000018</v>
      </c>
      <c r="U492" s="364" t="s">
        <v>491</v>
      </c>
      <c r="V492" s="369" t="s">
        <v>463</v>
      </c>
      <c r="W492" s="354">
        <f>Table6[[#This Row],[Breakdown Time]]*(1/39)</f>
        <v>6.4102564102564152E-2</v>
      </c>
      <c r="X492" s="352" t="s">
        <v>465</v>
      </c>
      <c r="Y492" s="370" t="s">
        <v>118</v>
      </c>
      <c r="Z492" s="121">
        <v>8849</v>
      </c>
      <c r="AA492" s="123">
        <v>921.77083333333394</v>
      </c>
      <c r="AB492" s="121" t="s">
        <v>478</v>
      </c>
    </row>
    <row r="493" spans="1:28">
      <c r="A493" s="121">
        <f t="shared" si="7"/>
        <v>492</v>
      </c>
      <c r="B493" s="123">
        <f>YEAR(Table6[[#This Row],[Date]])+IF(MONTH(Table6[[#This Row],[Date]])&gt;=4,1,0)</f>
        <v>2026</v>
      </c>
      <c r="C493" s="121">
        <f>YEAR(Table6[[#This Row],[Date]])</f>
        <v>2025</v>
      </c>
      <c r="D493" s="121" t="s">
        <v>490</v>
      </c>
      <c r="E493" s="135">
        <f>Table6[[#This Row],[Date]]-DAY(Table6[[#This Row],[Date]])+1</f>
        <v>45778</v>
      </c>
      <c r="F493" s="134">
        <v>45785</v>
      </c>
      <c r="G493" s="121" t="s">
        <v>124</v>
      </c>
      <c r="H493" s="39" t="str">
        <f>_xlfn.XLOOKUP(Table6[[#This Row],[Affected WTG]],'Basic Data'!$A:$A,'Basic Data'!$B:$B)</f>
        <v>PWEGPL</v>
      </c>
      <c r="I493" s="39" t="str">
        <f>_xlfn.XLOOKUP(Table6[[#This Row],[Affected WTG]],'Basic Data'!$A:$A,'Basic Data'!$C:$C)</f>
        <v>MSEDCL</v>
      </c>
      <c r="J493" s="363">
        <f>IFERROR(VLOOKUP(Table6[[#This Row],[Affected WTG]],'Basic Data'!$A$3:$E$56,5,0),"")</f>
        <v>2.564102564102564E-2</v>
      </c>
      <c r="K493" s="121">
        <v>1899</v>
      </c>
      <c r="L493" s="39" t="str">
        <f>IFERROR(VLOOKUP(Table6[[#This Row],[Error Code]],'Basic Data'!$T:$U,2,0),"")</f>
        <v>Automatic Secondaries Not OK</v>
      </c>
      <c r="M493" s="364" t="s">
        <v>462</v>
      </c>
      <c r="O493" s="365">
        <v>0.55208333333333337</v>
      </c>
      <c r="P493" s="365">
        <v>0.62638888888888888</v>
      </c>
      <c r="Q493" s="365">
        <v>0.62708333333333333</v>
      </c>
      <c r="R493" s="366">
        <f>IF(Table6[[#This Row],[Work Start TimeStamp]]="","",(Table6[[#This Row],[Work Start TimeStamp]]-Table6[[#This Row],[Fault Start TimeStamp]])*24)</f>
        <v>1.7833333333333323</v>
      </c>
      <c r="S493" s="367">
        <f>(Table6[[#This Row],[Fault Clearance time]]-Table6[[#This Row],[Work Start TimeStamp]])*24</f>
        <v>1.6666666666666607E-2</v>
      </c>
      <c r="T493" s="368">
        <f>(Table6[[#This Row],[Fault Clearance time]]-Table6[[#This Row],[Fault Start TimeStamp]])*24</f>
        <v>1.7999999999999989</v>
      </c>
      <c r="U493" s="364" t="s">
        <v>493</v>
      </c>
      <c r="V493" s="369" t="s">
        <v>463</v>
      </c>
      <c r="W493" s="354">
        <f>Table6[[#This Row],[Breakdown Time]]*(1/39)</f>
        <v>4.6153846153846122E-2</v>
      </c>
      <c r="X493" s="352" t="s">
        <v>465</v>
      </c>
      <c r="Y493" s="370" t="s">
        <v>125</v>
      </c>
      <c r="Z493" s="121">
        <v>8890</v>
      </c>
      <c r="AA493" s="123">
        <v>666.74999999999966</v>
      </c>
      <c r="AB493" s="121" t="s">
        <v>478</v>
      </c>
    </row>
    <row r="494" spans="1:28">
      <c r="A494" s="121">
        <f t="shared" si="7"/>
        <v>493</v>
      </c>
      <c r="B494" s="123">
        <f>YEAR(Table6[[#This Row],[Date]])+IF(MONTH(Table6[[#This Row],[Date]])&gt;=4,1,0)</f>
        <v>2026</v>
      </c>
      <c r="C494" s="121">
        <f>YEAR(Table6[[#This Row],[Date]])</f>
        <v>2025</v>
      </c>
      <c r="D494" s="121" t="s">
        <v>490</v>
      </c>
      <c r="E494" s="135">
        <f>Table6[[#This Row],[Date]]-DAY(Table6[[#This Row],[Date]])+1</f>
        <v>45778</v>
      </c>
      <c r="F494" s="134">
        <v>45785</v>
      </c>
      <c r="G494" s="121" t="s">
        <v>136</v>
      </c>
      <c r="H494" s="39" t="str">
        <f>_xlfn.XLOOKUP(Table6[[#This Row],[Affected WTG]],'Basic Data'!$A:$A,'Basic Data'!$B:$B)</f>
        <v>PWEGPL</v>
      </c>
      <c r="I494" s="39" t="str">
        <f>_xlfn.XLOOKUP(Table6[[#This Row],[Affected WTG]],'Basic Data'!$A:$A,'Basic Data'!$C:$C)</f>
        <v>MSEDCL</v>
      </c>
      <c r="J494" s="363">
        <f>IFERROR(VLOOKUP(Table6[[#This Row],[Affected WTG]],'Basic Data'!$A$3:$E$56,5,0),"")</f>
        <v>2.564102564102564E-2</v>
      </c>
      <c r="K494" s="121">
        <v>5203</v>
      </c>
      <c r="L494" s="39" t="str">
        <f>IFERROR(VLOOKUP(Table6[[#This Row],[Error Code]],'Basic Data'!$T:$U,2,0),"")</f>
        <v>Heating/Coolant Thermal Magnetic Failure</v>
      </c>
      <c r="M494" s="364" t="s">
        <v>462</v>
      </c>
      <c r="O494" s="365">
        <v>0.38194444444444442</v>
      </c>
      <c r="P494" s="365">
        <v>0.40416666666666667</v>
      </c>
      <c r="Q494" s="365">
        <v>0.5625</v>
      </c>
      <c r="R494" s="366">
        <f>IF(Table6[[#This Row],[Work Start TimeStamp]]="","",(Table6[[#This Row],[Work Start TimeStamp]]-Table6[[#This Row],[Fault Start TimeStamp]])*24)</f>
        <v>0.5333333333333341</v>
      </c>
      <c r="S494" s="367">
        <f>(Table6[[#This Row],[Fault Clearance time]]-Table6[[#This Row],[Work Start TimeStamp]])*24</f>
        <v>3.8</v>
      </c>
      <c r="T494" s="368">
        <f>(Table6[[#This Row],[Fault Clearance time]]-Table6[[#This Row],[Fault Start TimeStamp]])*24</f>
        <v>4.3333333333333339</v>
      </c>
      <c r="U494" s="364" t="s">
        <v>587</v>
      </c>
      <c r="V494" s="369" t="s">
        <v>463</v>
      </c>
      <c r="W494" s="354">
        <f>Table6[[#This Row],[Breakdown Time]]*(1/39)</f>
        <v>0.11111111111111112</v>
      </c>
      <c r="X494" s="352" t="s">
        <v>465</v>
      </c>
      <c r="Y494" s="370" t="s">
        <v>119</v>
      </c>
      <c r="Z494" s="121">
        <v>7901</v>
      </c>
      <c r="AA494" s="123">
        <v>1426.5694444444446</v>
      </c>
      <c r="AB494" s="121" t="s">
        <v>478</v>
      </c>
    </row>
    <row r="495" spans="1:28">
      <c r="A495" s="121">
        <f t="shared" si="7"/>
        <v>494</v>
      </c>
      <c r="B495" s="123">
        <f>YEAR(Table6[[#This Row],[Date]])+IF(MONTH(Table6[[#This Row],[Date]])&gt;=4,1,0)</f>
        <v>2026</v>
      </c>
      <c r="C495" s="121">
        <f>YEAR(Table6[[#This Row],[Date]])</f>
        <v>2025</v>
      </c>
      <c r="D495" s="121" t="s">
        <v>490</v>
      </c>
      <c r="E495" s="135">
        <f>Table6[[#This Row],[Date]]-DAY(Table6[[#This Row],[Date]])+1</f>
        <v>45778</v>
      </c>
      <c r="F495" s="134">
        <v>45785</v>
      </c>
      <c r="G495" s="121" t="s">
        <v>138</v>
      </c>
      <c r="H495" s="39" t="str">
        <f>_xlfn.XLOOKUP(Table6[[#This Row],[Affected WTG]],'Basic Data'!$A:$A,'Basic Data'!$B:$B)</f>
        <v>PWEGPL</v>
      </c>
      <c r="I495" s="39" t="str">
        <f>_xlfn.XLOOKUP(Table6[[#This Row],[Affected WTG]],'Basic Data'!$A:$A,'Basic Data'!$C:$C)</f>
        <v>MSEDCL</v>
      </c>
      <c r="J495" s="363">
        <f>IFERROR(VLOOKUP(Table6[[#This Row],[Affected WTG]],'Basic Data'!$A$3:$E$56,5,0),"")</f>
        <v>2.564102564102564E-2</v>
      </c>
      <c r="K495" s="121" t="s">
        <v>466</v>
      </c>
      <c r="L495" s="39" t="str">
        <f>IFERROR(VLOOKUP(Table6[[#This Row],[Error Code]],'Basic Data'!$T:$U,2,0),"")</f>
        <v>Manual Stop</v>
      </c>
      <c r="M495" s="364" t="s">
        <v>507</v>
      </c>
      <c r="O495" s="365">
        <v>0.51249999999999996</v>
      </c>
      <c r="P495" s="365">
        <v>0.51249999999999996</v>
      </c>
      <c r="Q495" s="365">
        <v>0.52361111111111114</v>
      </c>
      <c r="R495" s="366">
        <f>IF(Table6[[#This Row],[Work Start TimeStamp]]="","",(Table6[[#This Row],[Work Start TimeStamp]]-Table6[[#This Row],[Fault Start TimeStamp]])*24)</f>
        <v>0</v>
      </c>
      <c r="S495" s="367">
        <f>(Table6[[#This Row],[Fault Clearance time]]-Table6[[#This Row],[Work Start TimeStamp]])*24</f>
        <v>0.26666666666666838</v>
      </c>
      <c r="T495" s="368">
        <f>(Table6[[#This Row],[Fault Clearance time]]-Table6[[#This Row],[Fault Start TimeStamp]])*24</f>
        <v>0.26666666666666838</v>
      </c>
      <c r="U495" s="364" t="s">
        <v>583</v>
      </c>
      <c r="V495" s="369" t="s">
        <v>463</v>
      </c>
      <c r="W495" s="354">
        <f>Table6[[#This Row],[Breakdown Time]]*(1/39)</f>
        <v>6.837606837606881E-3</v>
      </c>
      <c r="X495" s="352" t="s">
        <v>464</v>
      </c>
      <c r="Y495" s="370" t="s">
        <v>140</v>
      </c>
      <c r="Z495" s="121">
        <v>7921</v>
      </c>
      <c r="AA495" s="123">
        <v>88.011111111111688</v>
      </c>
      <c r="AB495" s="121" t="s">
        <v>478</v>
      </c>
    </row>
    <row r="496" spans="1:28">
      <c r="A496" s="121">
        <f t="shared" si="7"/>
        <v>495</v>
      </c>
      <c r="B496" s="123">
        <f>YEAR(Table6[[#This Row],[Date]])+IF(MONTH(Table6[[#This Row],[Date]])&gt;=4,1,0)</f>
        <v>2026</v>
      </c>
      <c r="C496" s="121">
        <f>YEAR(Table6[[#This Row],[Date]])</f>
        <v>2025</v>
      </c>
      <c r="D496" s="121" t="s">
        <v>490</v>
      </c>
      <c r="E496" s="135">
        <f>Table6[[#This Row],[Date]]-DAY(Table6[[#This Row],[Date]])+1</f>
        <v>45778</v>
      </c>
      <c r="F496" s="134">
        <v>45785</v>
      </c>
      <c r="G496" s="121" t="s">
        <v>141</v>
      </c>
      <c r="H496" s="39" t="str">
        <f>_xlfn.XLOOKUP(Table6[[#This Row],[Affected WTG]],'Basic Data'!$A:$A,'Basic Data'!$B:$B)</f>
        <v>PWEGPL</v>
      </c>
      <c r="I496" s="39" t="str">
        <f>_xlfn.XLOOKUP(Table6[[#This Row],[Affected WTG]],'Basic Data'!$A:$A,'Basic Data'!$C:$C)</f>
        <v>MSEDCL</v>
      </c>
      <c r="J496" s="363">
        <f>IFERROR(VLOOKUP(Table6[[#This Row],[Affected WTG]],'Basic Data'!$A$3:$E$56,5,0),"")</f>
        <v>2.564102564102564E-2</v>
      </c>
      <c r="K496" s="121" t="s">
        <v>466</v>
      </c>
      <c r="L496" s="39" t="str">
        <f>IFERROR(VLOOKUP(Table6[[#This Row],[Error Code]],'Basic Data'!$T:$U,2,0),"")</f>
        <v>Manual Stop</v>
      </c>
      <c r="M496" s="364" t="s">
        <v>507</v>
      </c>
      <c r="O496" s="365">
        <v>0.48749999999999999</v>
      </c>
      <c r="P496" s="365">
        <v>0.48749999999999999</v>
      </c>
      <c r="Q496" s="365">
        <v>0.50069444444444444</v>
      </c>
      <c r="R496" s="366">
        <f>IF(Table6[[#This Row],[Work Start TimeStamp]]="","",(Table6[[#This Row],[Work Start TimeStamp]]-Table6[[#This Row],[Fault Start TimeStamp]])*24)</f>
        <v>0</v>
      </c>
      <c r="S496" s="367">
        <f>(Table6[[#This Row],[Fault Clearance time]]-Table6[[#This Row],[Work Start TimeStamp]])*24</f>
        <v>0.31666666666666687</v>
      </c>
      <c r="T496" s="368">
        <f>(Table6[[#This Row],[Fault Clearance time]]-Table6[[#This Row],[Fault Start TimeStamp]])*24</f>
        <v>0.31666666666666687</v>
      </c>
      <c r="U496" s="364" t="s">
        <v>583</v>
      </c>
      <c r="V496" s="369" t="s">
        <v>463</v>
      </c>
      <c r="W496" s="354">
        <f>Table6[[#This Row],[Breakdown Time]]*(1/39)</f>
        <v>8.1196581196581255E-3</v>
      </c>
      <c r="X496" s="352" t="s">
        <v>464</v>
      </c>
      <c r="Y496" s="370" t="s">
        <v>143</v>
      </c>
      <c r="Z496" s="121">
        <v>7942</v>
      </c>
      <c r="AA496" s="123">
        <v>104.79027777777785</v>
      </c>
      <c r="AB496" s="121" t="s">
        <v>478</v>
      </c>
    </row>
    <row r="497" spans="1:28">
      <c r="A497" s="121">
        <f t="shared" si="7"/>
        <v>496</v>
      </c>
      <c r="B497" s="123">
        <f>YEAR(Table6[[#This Row],[Date]])+IF(MONTH(Table6[[#This Row],[Date]])&gt;=4,1,0)</f>
        <v>2026</v>
      </c>
      <c r="C497" s="121">
        <f>YEAR(Table6[[#This Row],[Date]])</f>
        <v>2025</v>
      </c>
      <c r="D497" s="121" t="s">
        <v>490</v>
      </c>
      <c r="E497" s="135">
        <f>Table6[[#This Row],[Date]]-DAY(Table6[[#This Row],[Date]])+1</f>
        <v>45778</v>
      </c>
      <c r="F497" s="134">
        <v>45785</v>
      </c>
      <c r="G497" s="121" t="s">
        <v>148</v>
      </c>
      <c r="H497" s="39" t="str">
        <f>_xlfn.XLOOKUP(Table6[[#This Row],[Affected WTG]],'Basic Data'!$A:$A,'Basic Data'!$B:$B)</f>
        <v>PWEGPL</v>
      </c>
      <c r="I497" s="39" t="str">
        <f>_xlfn.XLOOKUP(Table6[[#This Row],[Affected WTG]],'Basic Data'!$A:$A,'Basic Data'!$C:$C)</f>
        <v>MSEDCL</v>
      </c>
      <c r="J497" s="363">
        <f>IFERROR(VLOOKUP(Table6[[#This Row],[Affected WTG]],'Basic Data'!$A$3:$E$56,5,0),"")</f>
        <v>2.564102564102564E-2</v>
      </c>
      <c r="K497" s="121">
        <v>5220</v>
      </c>
      <c r="L497" s="39" t="str">
        <f>IFERROR(VLOOKUP(Table6[[#This Row],[Error Code]],'Basic Data'!$T:$U,2,0),"")</f>
        <v>Encoder Not OK</v>
      </c>
      <c r="M497" s="364" t="s">
        <v>462</v>
      </c>
      <c r="O497" s="365">
        <v>0.40833333333333333</v>
      </c>
      <c r="P497" s="365">
        <v>0.42152777777777778</v>
      </c>
      <c r="Q497" s="365">
        <v>0.42222222222222222</v>
      </c>
      <c r="R497" s="366">
        <f>IF(Table6[[#This Row],[Work Start TimeStamp]]="","",(Table6[[#This Row],[Work Start TimeStamp]]-Table6[[#This Row],[Fault Start TimeStamp]])*24)</f>
        <v>0.31666666666666687</v>
      </c>
      <c r="S497" s="367">
        <f>(Table6[[#This Row],[Fault Clearance time]]-Table6[[#This Row],[Work Start TimeStamp]])*24</f>
        <v>1.6666666666666607E-2</v>
      </c>
      <c r="T497" s="368">
        <f>(Table6[[#This Row],[Fault Clearance time]]-Table6[[#This Row],[Fault Start TimeStamp]])*24</f>
        <v>0.33333333333333348</v>
      </c>
      <c r="U497" s="364" t="s">
        <v>493</v>
      </c>
      <c r="V497" s="369" t="s">
        <v>463</v>
      </c>
      <c r="W497" s="354">
        <f>Table6[[#This Row],[Breakdown Time]]*(1/39)</f>
        <v>8.5470085470085513E-3</v>
      </c>
      <c r="X497" s="352" t="s">
        <v>465</v>
      </c>
      <c r="Y497" s="370" t="s">
        <v>149</v>
      </c>
      <c r="Z497" s="121">
        <v>6856</v>
      </c>
      <c r="AA497" s="123">
        <v>95.222222222222271</v>
      </c>
      <c r="AB497" s="121" t="s">
        <v>478</v>
      </c>
    </row>
    <row r="498" spans="1:28">
      <c r="A498" s="121">
        <f t="shared" si="7"/>
        <v>497</v>
      </c>
      <c r="B498" s="123">
        <f>YEAR(Table6[[#This Row],[Date]])+IF(MONTH(Table6[[#This Row],[Date]])&gt;=4,1,0)</f>
        <v>2026</v>
      </c>
      <c r="C498" s="121">
        <f>YEAR(Table6[[#This Row],[Date]])</f>
        <v>2025</v>
      </c>
      <c r="D498" s="121" t="s">
        <v>490</v>
      </c>
      <c r="E498" s="135">
        <f>Table6[[#This Row],[Date]]-DAY(Table6[[#This Row],[Date]])+1</f>
        <v>45778</v>
      </c>
      <c r="F498" s="134">
        <v>45785</v>
      </c>
      <c r="G498" s="121" t="s">
        <v>148</v>
      </c>
      <c r="H498" s="39" t="str">
        <f>_xlfn.XLOOKUP(Table6[[#This Row],[Affected WTG]],'Basic Data'!$A:$A,'Basic Data'!$B:$B)</f>
        <v>PWEGPL</v>
      </c>
      <c r="I498" s="39" t="str">
        <f>_xlfn.XLOOKUP(Table6[[#This Row],[Affected WTG]],'Basic Data'!$A:$A,'Basic Data'!$C:$C)</f>
        <v>MSEDCL</v>
      </c>
      <c r="J498" s="363">
        <f>IFERROR(VLOOKUP(Table6[[#This Row],[Affected WTG]],'Basic Data'!$A$3:$E$56,5,0),"")</f>
        <v>2.564102564102564E-2</v>
      </c>
      <c r="K498" s="121">
        <v>5220</v>
      </c>
      <c r="L498" s="39" t="str">
        <f>IFERROR(VLOOKUP(Table6[[#This Row],[Error Code]],'Basic Data'!$T:$U,2,0),"")</f>
        <v>Encoder Not OK</v>
      </c>
      <c r="M498" s="364" t="s">
        <v>462</v>
      </c>
      <c r="O498" s="365">
        <v>0.54861111111111116</v>
      </c>
      <c r="P498" s="365">
        <v>0.58888888888888891</v>
      </c>
      <c r="Q498" s="365">
        <v>0.59027777777777779</v>
      </c>
      <c r="R498" s="366">
        <f>IF(Table6[[#This Row],[Work Start TimeStamp]]="","",(Table6[[#This Row],[Work Start TimeStamp]]-Table6[[#This Row],[Fault Start TimeStamp]])*24)</f>
        <v>0.9666666666666659</v>
      </c>
      <c r="S498" s="367">
        <f>(Table6[[#This Row],[Fault Clearance time]]-Table6[[#This Row],[Work Start TimeStamp]])*24</f>
        <v>3.3333333333333215E-2</v>
      </c>
      <c r="T498" s="368">
        <f>(Table6[[#This Row],[Fault Clearance time]]-Table6[[#This Row],[Fault Start TimeStamp]])*24</f>
        <v>0.99999999999999911</v>
      </c>
      <c r="U498" s="364" t="s">
        <v>491</v>
      </c>
      <c r="V498" s="369" t="s">
        <v>463</v>
      </c>
      <c r="W498" s="354">
        <f>Table6[[#This Row],[Breakdown Time]]*(1/39)</f>
        <v>2.5641025641025616E-2</v>
      </c>
      <c r="X498" s="352" t="s">
        <v>465</v>
      </c>
      <c r="Y498" s="370" t="s">
        <v>149</v>
      </c>
      <c r="Z498" s="121">
        <v>6856</v>
      </c>
      <c r="AA498" s="123">
        <v>285.66666666666646</v>
      </c>
      <c r="AB498" s="121" t="s">
        <v>478</v>
      </c>
    </row>
    <row r="499" spans="1:28">
      <c r="A499" s="121">
        <f t="shared" si="7"/>
        <v>498</v>
      </c>
      <c r="B499" s="123">
        <f>YEAR(Table6[[#This Row],[Date]])+IF(MONTH(Table6[[#This Row],[Date]])&gt;=4,1,0)</f>
        <v>2026</v>
      </c>
      <c r="C499" s="121">
        <f>YEAR(Table6[[#This Row],[Date]])</f>
        <v>2025</v>
      </c>
      <c r="D499" s="121" t="s">
        <v>490</v>
      </c>
      <c r="E499" s="135">
        <f>Table6[[#This Row],[Date]]-DAY(Table6[[#This Row],[Date]])+1</f>
        <v>45778</v>
      </c>
      <c r="F499" s="134">
        <v>45785</v>
      </c>
      <c r="G499" s="121" t="s">
        <v>150</v>
      </c>
      <c r="H499" s="39" t="str">
        <f>_xlfn.XLOOKUP(Table6[[#This Row],[Affected WTG]],'Basic Data'!$A:$A,'Basic Data'!$B:$B)</f>
        <v>PWEGPL</v>
      </c>
      <c r="I499" s="39" t="str">
        <f>_xlfn.XLOOKUP(Table6[[#This Row],[Affected WTG]],'Basic Data'!$A:$A,'Basic Data'!$C:$C)</f>
        <v>MSEDCL</v>
      </c>
      <c r="J499" s="363">
        <f>IFERROR(VLOOKUP(Table6[[#This Row],[Affected WTG]],'Basic Data'!$A$3:$E$56,5,0),"")</f>
        <v>2.564102564102564E-2</v>
      </c>
      <c r="K499" s="121">
        <v>205</v>
      </c>
      <c r="L499" s="39" t="str">
        <f>IFERROR(VLOOKUP(Table6[[#This Row],[Error Code]],'Basic Data'!$T:$U,2,0),"")</f>
        <v>Low Level Hydraulic Group Refrigeration Oil</v>
      </c>
      <c r="M499" s="364" t="s">
        <v>462</v>
      </c>
      <c r="O499" s="365">
        <v>0.41041666666666665</v>
      </c>
      <c r="P499" s="365">
        <v>0.42708333333333331</v>
      </c>
      <c r="Q499" s="365">
        <v>0.69236111111111109</v>
      </c>
      <c r="R499" s="366">
        <f>IF(Table6[[#This Row],[Work Start TimeStamp]]="","",(Table6[[#This Row],[Work Start TimeStamp]]-Table6[[#This Row],[Fault Start TimeStamp]])*24)</f>
        <v>0.39999999999999991</v>
      </c>
      <c r="S499" s="367">
        <f>(Table6[[#This Row],[Fault Clearance time]]-Table6[[#This Row],[Work Start TimeStamp]])*24</f>
        <v>6.3666666666666671</v>
      </c>
      <c r="T499" s="368">
        <f>(Table6[[#This Row],[Fault Clearance time]]-Table6[[#This Row],[Fault Start TimeStamp]])*24</f>
        <v>6.7666666666666666</v>
      </c>
      <c r="U499" s="364" t="s">
        <v>588</v>
      </c>
      <c r="V499" s="369" t="s">
        <v>463</v>
      </c>
      <c r="W499" s="354">
        <f>Table6[[#This Row],[Breakdown Time]]*(1/39)</f>
        <v>0.1735042735042735</v>
      </c>
      <c r="X499" s="352" t="s">
        <v>465</v>
      </c>
      <c r="Y499" s="370" t="s">
        <v>149</v>
      </c>
      <c r="Z499" s="121">
        <v>6856</v>
      </c>
      <c r="AA499" s="123">
        <v>1933.0111111111112</v>
      </c>
      <c r="AB499" s="121" t="s">
        <v>478</v>
      </c>
    </row>
    <row r="500" spans="1:28">
      <c r="A500" s="121">
        <f t="shared" si="7"/>
        <v>499</v>
      </c>
      <c r="B500" s="123">
        <f>YEAR(Table6[[#This Row],[Date]])+IF(MONTH(Table6[[#This Row],[Date]])&gt;=4,1,0)</f>
        <v>2026</v>
      </c>
      <c r="C500" s="121">
        <f>YEAR(Table6[[#This Row],[Date]])</f>
        <v>2025</v>
      </c>
      <c r="D500" s="121" t="s">
        <v>490</v>
      </c>
      <c r="E500" s="135">
        <f>Table6[[#This Row],[Date]]-DAY(Table6[[#This Row],[Date]])+1</f>
        <v>45778</v>
      </c>
      <c r="F500" s="134">
        <v>45785</v>
      </c>
      <c r="G500" s="121" t="s">
        <v>152</v>
      </c>
      <c r="H500" s="39" t="str">
        <f>_xlfn.XLOOKUP(Table6[[#This Row],[Affected WTG]],'Basic Data'!$A:$A,'Basic Data'!$B:$B)</f>
        <v>PWEGPL</v>
      </c>
      <c r="I500" s="39" t="str">
        <f>_xlfn.XLOOKUP(Table6[[#This Row],[Affected WTG]],'Basic Data'!$A:$A,'Basic Data'!$C:$C)</f>
        <v>MSEDCL</v>
      </c>
      <c r="J500" s="363">
        <f>IFERROR(VLOOKUP(Table6[[#This Row],[Affected WTG]],'Basic Data'!$A$3:$E$56,5,0),"")</f>
        <v>2.564102564102564E-2</v>
      </c>
      <c r="K500" s="121">
        <v>5201</v>
      </c>
      <c r="L500" s="39" t="str">
        <f>IFERROR(VLOOKUP(Table6[[#This Row],[Error Code]],'Basic Data'!$T:$U,2,0),"")</f>
        <v>Magnetothermic Trigger Of The Stator Protection</v>
      </c>
      <c r="M500" s="364" t="s">
        <v>462</v>
      </c>
      <c r="O500" s="365">
        <v>0.42499999999999999</v>
      </c>
      <c r="P500" s="365">
        <v>0.44027777777777777</v>
      </c>
      <c r="Q500" s="365">
        <v>0.44166666666666665</v>
      </c>
      <c r="R500" s="366">
        <f>IF(Table6[[#This Row],[Work Start TimeStamp]]="","",(Table6[[#This Row],[Work Start TimeStamp]]-Table6[[#This Row],[Fault Start TimeStamp]])*24)</f>
        <v>0.3666666666666667</v>
      </c>
      <c r="S500" s="367">
        <f>(Table6[[#This Row],[Fault Clearance time]]-Table6[[#This Row],[Work Start TimeStamp]])*24</f>
        <v>3.3333333333333215E-2</v>
      </c>
      <c r="T500" s="368">
        <f>(Table6[[#This Row],[Fault Clearance time]]-Table6[[#This Row],[Fault Start TimeStamp]])*24</f>
        <v>0.39999999999999991</v>
      </c>
      <c r="U500" s="364" t="s">
        <v>493</v>
      </c>
      <c r="V500" s="369" t="s">
        <v>463</v>
      </c>
      <c r="W500" s="354">
        <f>Table6[[#This Row],[Breakdown Time]]*(1/39)</f>
        <v>1.0256410256410253E-2</v>
      </c>
      <c r="X500" s="352" t="s">
        <v>465</v>
      </c>
      <c r="Y500" s="370" t="s">
        <v>153</v>
      </c>
      <c r="Z500" s="121">
        <v>6857</v>
      </c>
      <c r="AA500" s="123">
        <v>114.2833333333333</v>
      </c>
      <c r="AB500" s="121" t="s">
        <v>478</v>
      </c>
    </row>
    <row r="501" spans="1:28">
      <c r="A501" s="121">
        <f t="shared" si="7"/>
        <v>500</v>
      </c>
      <c r="B501" s="123">
        <f>YEAR(Table6[[#This Row],[Date]])+IF(MONTH(Table6[[#This Row],[Date]])&gt;=4,1,0)</f>
        <v>2026</v>
      </c>
      <c r="C501" s="121">
        <f>YEAR(Table6[[#This Row],[Date]])</f>
        <v>2025</v>
      </c>
      <c r="D501" s="121" t="s">
        <v>490</v>
      </c>
      <c r="E501" s="135">
        <f>Table6[[#This Row],[Date]]-DAY(Table6[[#This Row],[Date]])+1</f>
        <v>45778</v>
      </c>
      <c r="F501" s="134">
        <v>45785</v>
      </c>
      <c r="G501" s="121" t="s">
        <v>152</v>
      </c>
      <c r="H501" s="39" t="str">
        <f>_xlfn.XLOOKUP(Table6[[#This Row],[Affected WTG]],'Basic Data'!$A:$A,'Basic Data'!$B:$B)</f>
        <v>PWEGPL</v>
      </c>
      <c r="I501" s="39" t="str">
        <f>_xlfn.XLOOKUP(Table6[[#This Row],[Affected WTG]],'Basic Data'!$A:$A,'Basic Data'!$C:$C)</f>
        <v>MSEDCL</v>
      </c>
      <c r="J501" s="363">
        <f>IFERROR(VLOOKUP(Table6[[#This Row],[Affected WTG]],'Basic Data'!$A$3:$E$56,5,0),"")</f>
        <v>2.564102564102564E-2</v>
      </c>
      <c r="K501" s="121">
        <v>5201</v>
      </c>
      <c r="L501" s="39" t="str">
        <f>IFERROR(VLOOKUP(Table6[[#This Row],[Error Code]],'Basic Data'!$T:$U,2,0),"")</f>
        <v>Magnetothermic Trigger Of The Stator Protection</v>
      </c>
      <c r="M501" s="364" t="s">
        <v>462</v>
      </c>
      <c r="O501" s="365">
        <v>0.54305555555555551</v>
      </c>
      <c r="P501" s="365">
        <v>0.57986111111111116</v>
      </c>
      <c r="Q501" s="365">
        <v>0.58125000000000004</v>
      </c>
      <c r="R501" s="366">
        <f>IF(Table6[[#This Row],[Work Start TimeStamp]]="","",(Table6[[#This Row],[Work Start TimeStamp]]-Table6[[#This Row],[Fault Start TimeStamp]])*24)</f>
        <v>0.88333333333333552</v>
      </c>
      <c r="S501" s="367">
        <f>(Table6[[#This Row],[Fault Clearance time]]-Table6[[#This Row],[Work Start TimeStamp]])*24</f>
        <v>3.3333333333333215E-2</v>
      </c>
      <c r="T501" s="368">
        <f>(Table6[[#This Row],[Fault Clearance time]]-Table6[[#This Row],[Fault Start TimeStamp]])*24</f>
        <v>0.91666666666666874</v>
      </c>
      <c r="U501" s="364" t="s">
        <v>491</v>
      </c>
      <c r="V501" s="369" t="s">
        <v>463</v>
      </c>
      <c r="W501" s="354">
        <f>Table6[[#This Row],[Breakdown Time]]*(1/39)</f>
        <v>2.3504273504273556E-2</v>
      </c>
      <c r="X501" s="352" t="s">
        <v>465</v>
      </c>
      <c r="Y501" s="370" t="s">
        <v>153</v>
      </c>
      <c r="Z501" s="121">
        <v>6857</v>
      </c>
      <c r="AA501" s="123">
        <v>261.89930555555611</v>
      </c>
      <c r="AB501" s="121" t="s">
        <v>478</v>
      </c>
    </row>
    <row r="502" spans="1:28">
      <c r="A502" s="121">
        <f t="shared" si="7"/>
        <v>501</v>
      </c>
      <c r="B502" s="123">
        <f>YEAR(Table6[[#This Row],[Date]])+IF(MONTH(Table6[[#This Row],[Date]])&gt;=4,1,0)</f>
        <v>2026</v>
      </c>
      <c r="C502" s="121">
        <f>YEAR(Table6[[#This Row],[Date]])</f>
        <v>2025</v>
      </c>
      <c r="D502" s="121" t="s">
        <v>490</v>
      </c>
      <c r="E502" s="135">
        <f>Table6[[#This Row],[Date]]-DAY(Table6[[#This Row],[Date]])+1</f>
        <v>45778</v>
      </c>
      <c r="F502" s="134">
        <v>45786</v>
      </c>
      <c r="G502" s="121" t="s">
        <v>144</v>
      </c>
      <c r="H502" s="39" t="str">
        <f>_xlfn.XLOOKUP(Table6[[#This Row],[Affected WTG]],'Basic Data'!$A:$A,'Basic Data'!$B:$B)</f>
        <v>PWEGPL</v>
      </c>
      <c r="I502" s="39" t="str">
        <f>_xlfn.XLOOKUP(Table6[[#This Row],[Affected WTG]],'Basic Data'!$A:$A,'Basic Data'!$C:$C)</f>
        <v>MSEDCL</v>
      </c>
      <c r="J502" s="363">
        <f>IFERROR(VLOOKUP(Table6[[#This Row],[Affected WTG]],'Basic Data'!$A$3:$E$56,5,0),"")</f>
        <v>2.564102564102564E-2</v>
      </c>
      <c r="K502" s="121" t="s">
        <v>492</v>
      </c>
      <c r="L502" s="39" t="str">
        <f>IFERROR(VLOOKUP(Table6[[#This Row],[Error Code]],'Basic Data'!$T:$U,2,0),"")</f>
        <v>Manual Stop - Safety Related</v>
      </c>
      <c r="M502" s="364" t="s">
        <v>481</v>
      </c>
      <c r="O502" s="365">
        <v>0</v>
      </c>
      <c r="P502" s="365">
        <v>0.99930555555555556</v>
      </c>
      <c r="Q502" s="365">
        <v>0.99930555555555556</v>
      </c>
      <c r="R502" s="366">
        <f>IF(Table6[[#This Row],[Work Start TimeStamp]]="","",(Table6[[#This Row],[Work Start TimeStamp]]-Table6[[#This Row],[Fault Start TimeStamp]])*24)</f>
        <v>23.983333333333334</v>
      </c>
      <c r="S502" s="367">
        <f>(Table6[[#This Row],[Fault Clearance time]]-Table6[[#This Row],[Work Start TimeStamp]])*24</f>
        <v>0</v>
      </c>
      <c r="T502" s="368">
        <f>(Table6[[#This Row],[Fault Clearance time]]-Table6[[#This Row],[Fault Start TimeStamp]])*24</f>
        <v>23.983333333333334</v>
      </c>
      <c r="U502" s="364" t="s">
        <v>498</v>
      </c>
      <c r="V502" s="369" t="s">
        <v>473</v>
      </c>
      <c r="W502" s="354">
        <f>Table6[[#This Row],[Breakdown Time]]*(1/39)</f>
        <v>0.61495726495726499</v>
      </c>
      <c r="X502" s="352" t="s">
        <v>468</v>
      </c>
      <c r="Y502" s="370" t="s">
        <v>141</v>
      </c>
      <c r="Z502" s="121">
        <v>4526</v>
      </c>
      <c r="AA502" s="123">
        <v>4522.8569444444447</v>
      </c>
      <c r="AB502" s="121" t="s">
        <v>478</v>
      </c>
    </row>
    <row r="503" spans="1:28">
      <c r="A503" s="121">
        <f t="shared" si="7"/>
        <v>502</v>
      </c>
      <c r="B503" s="123">
        <f>YEAR(Table6[[#This Row],[Date]])+IF(MONTH(Table6[[#This Row],[Date]])&gt;=4,1,0)</f>
        <v>2026</v>
      </c>
      <c r="C503" s="121">
        <f>YEAR(Table6[[#This Row],[Date]])</f>
        <v>2025</v>
      </c>
      <c r="D503" s="121" t="s">
        <v>490</v>
      </c>
      <c r="E503" s="135">
        <f>Table6[[#This Row],[Date]]-DAY(Table6[[#This Row],[Date]])+1</f>
        <v>45778</v>
      </c>
      <c r="F503" s="134">
        <v>45786</v>
      </c>
      <c r="G503" s="121" t="s">
        <v>142</v>
      </c>
      <c r="H503" s="39" t="str">
        <f>_xlfn.XLOOKUP(Table6[[#This Row],[Affected WTG]],'Basic Data'!$A:$A,'Basic Data'!$B:$B)</f>
        <v>PWEGPL</v>
      </c>
      <c r="I503" s="39" t="str">
        <f>_xlfn.XLOOKUP(Table6[[#This Row],[Affected WTG]],'Basic Data'!$A:$A,'Basic Data'!$C:$C)</f>
        <v>MSEDCL</v>
      </c>
      <c r="J503" s="363">
        <f>IFERROR(VLOOKUP(Table6[[#This Row],[Affected WTG]],'Basic Data'!$A$3:$E$56,5,0),"")</f>
        <v>2.564102564102564E-2</v>
      </c>
      <c r="K503" s="121" t="s">
        <v>492</v>
      </c>
      <c r="L503" s="39" t="str">
        <f>IFERROR(VLOOKUP(Table6[[#This Row],[Error Code]],'Basic Data'!$T:$U,2,0),"")</f>
        <v>Manual Stop - Safety Related</v>
      </c>
      <c r="M503" s="364" t="s">
        <v>481</v>
      </c>
      <c r="O503" s="365">
        <v>0</v>
      </c>
      <c r="P503" s="365">
        <v>0.99930555555555556</v>
      </c>
      <c r="Q503" s="365">
        <v>0.99930555555555556</v>
      </c>
      <c r="R503" s="366">
        <f>IF(Table6[[#This Row],[Work Start TimeStamp]]="","",(Table6[[#This Row],[Work Start TimeStamp]]-Table6[[#This Row],[Fault Start TimeStamp]])*24)</f>
        <v>23.983333333333334</v>
      </c>
      <c r="S503" s="367">
        <f>(Table6[[#This Row],[Fault Clearance time]]-Table6[[#This Row],[Work Start TimeStamp]])*24</f>
        <v>0</v>
      </c>
      <c r="T503" s="368">
        <f>(Table6[[#This Row],[Fault Clearance time]]-Table6[[#This Row],[Fault Start TimeStamp]])*24</f>
        <v>23.983333333333334</v>
      </c>
      <c r="U503" s="364" t="s">
        <v>498</v>
      </c>
      <c r="V503" s="369" t="s">
        <v>473</v>
      </c>
      <c r="W503" s="354">
        <f>Table6[[#This Row],[Breakdown Time]]*(1/39)</f>
        <v>0.61495726495726499</v>
      </c>
      <c r="X503" s="352" t="s">
        <v>468</v>
      </c>
      <c r="Y503" s="370" t="s">
        <v>141</v>
      </c>
      <c r="Z503" s="121">
        <v>4526</v>
      </c>
      <c r="AA503" s="123">
        <v>4522.8569444444447</v>
      </c>
      <c r="AB503" s="121" t="s">
        <v>478</v>
      </c>
    </row>
    <row r="504" spans="1:28">
      <c r="A504" s="121">
        <f t="shared" si="7"/>
        <v>503</v>
      </c>
      <c r="B504" s="123">
        <f>YEAR(Table6[[#This Row],[Date]])+IF(MONTH(Table6[[#This Row],[Date]])&gt;=4,1,0)</f>
        <v>2026</v>
      </c>
      <c r="C504" s="121">
        <f>YEAR(Table6[[#This Row],[Date]])</f>
        <v>2025</v>
      </c>
      <c r="D504" s="121" t="s">
        <v>490</v>
      </c>
      <c r="E504" s="135">
        <f>Table6[[#This Row],[Date]]-DAY(Table6[[#This Row],[Date]])+1</f>
        <v>45778</v>
      </c>
      <c r="F504" s="134">
        <v>45786</v>
      </c>
      <c r="G504" s="121" t="s">
        <v>117</v>
      </c>
      <c r="H504" s="39" t="str">
        <f>_xlfn.XLOOKUP(Table6[[#This Row],[Affected WTG]],'Basic Data'!$A:$A,'Basic Data'!$B:$B)</f>
        <v>PWEGPL</v>
      </c>
      <c r="I504" s="39" t="str">
        <f>_xlfn.XLOOKUP(Table6[[#This Row],[Affected WTG]],'Basic Data'!$A:$A,'Basic Data'!$C:$C)</f>
        <v>MSEDCL</v>
      </c>
      <c r="J504" s="363">
        <f>IFERROR(VLOOKUP(Table6[[#This Row],[Affected WTG]],'Basic Data'!$A$3:$E$56,5,0),"")</f>
        <v>2.564102564102564E-2</v>
      </c>
      <c r="K504" s="121" t="s">
        <v>466</v>
      </c>
      <c r="L504" s="39" t="str">
        <f>IFERROR(VLOOKUP(Table6[[#This Row],[Error Code]],'Basic Data'!$T:$U,2,0),"")</f>
        <v>Manual Stop</v>
      </c>
      <c r="M504" s="364" t="s">
        <v>507</v>
      </c>
      <c r="O504" s="365">
        <v>0.50486111111111109</v>
      </c>
      <c r="P504" s="365">
        <v>0.50486111111111109</v>
      </c>
      <c r="Q504" s="365">
        <v>0.52083333333333337</v>
      </c>
      <c r="R504" s="366">
        <f>IF(Table6[[#This Row],[Work Start TimeStamp]]="","",(Table6[[#This Row],[Work Start TimeStamp]]-Table6[[#This Row],[Fault Start TimeStamp]])*24)</f>
        <v>0</v>
      </c>
      <c r="S504" s="367">
        <f>(Table6[[#This Row],[Fault Clearance time]]-Table6[[#This Row],[Work Start TimeStamp]])*24</f>
        <v>0.38333333333333464</v>
      </c>
      <c r="T504" s="368">
        <f>(Table6[[#This Row],[Fault Clearance time]]-Table6[[#This Row],[Fault Start TimeStamp]])*24</f>
        <v>0.38333333333333464</v>
      </c>
      <c r="U504" s="364" t="s">
        <v>583</v>
      </c>
      <c r="V504" s="369" t="s">
        <v>463</v>
      </c>
      <c r="W504" s="354">
        <f>Table6[[#This Row],[Breakdown Time]]*(1/39)</f>
        <v>9.8290598290598618E-3</v>
      </c>
      <c r="X504" s="352" t="s">
        <v>464</v>
      </c>
      <c r="Y504" s="370" t="s">
        <v>118</v>
      </c>
      <c r="Z504" s="121">
        <v>3583</v>
      </c>
      <c r="AA504" s="123">
        <v>57.228472222222415</v>
      </c>
      <c r="AB504" s="121" t="s">
        <v>478</v>
      </c>
    </row>
    <row r="505" spans="1:28">
      <c r="A505" s="121">
        <f t="shared" si="7"/>
        <v>504</v>
      </c>
      <c r="B505" s="123">
        <f>YEAR(Table6[[#This Row],[Date]])+IF(MONTH(Table6[[#This Row],[Date]])&gt;=4,1,0)</f>
        <v>2026</v>
      </c>
      <c r="C505" s="121">
        <f>YEAR(Table6[[#This Row],[Date]])</f>
        <v>2025</v>
      </c>
      <c r="D505" s="121" t="s">
        <v>490</v>
      </c>
      <c r="E505" s="135">
        <f>Table6[[#This Row],[Date]]-DAY(Table6[[#This Row],[Date]])+1</f>
        <v>45778</v>
      </c>
      <c r="F505" s="134">
        <v>45786</v>
      </c>
      <c r="G505" s="121" t="s">
        <v>118</v>
      </c>
      <c r="H505" s="39" t="str">
        <f>_xlfn.XLOOKUP(Table6[[#This Row],[Affected WTG]],'Basic Data'!$A:$A,'Basic Data'!$B:$B)</f>
        <v>PWEGPL</v>
      </c>
      <c r="I505" s="39" t="str">
        <f>_xlfn.XLOOKUP(Table6[[#This Row],[Affected WTG]],'Basic Data'!$A:$A,'Basic Data'!$C:$C)</f>
        <v>MSEDCL</v>
      </c>
      <c r="J505" s="363">
        <f>IFERROR(VLOOKUP(Table6[[#This Row],[Affected WTG]],'Basic Data'!$A$3:$E$56,5,0),"")</f>
        <v>2.564102564102564E-2</v>
      </c>
      <c r="K505" s="121" t="s">
        <v>466</v>
      </c>
      <c r="L505" s="39" t="str">
        <f>IFERROR(VLOOKUP(Table6[[#This Row],[Error Code]],'Basic Data'!$T:$U,2,0),"")</f>
        <v>Manual Stop</v>
      </c>
      <c r="M505" s="364" t="s">
        <v>507</v>
      </c>
      <c r="O505" s="365">
        <v>0.5395833333333333</v>
      </c>
      <c r="P505" s="365">
        <v>0.5395833333333333</v>
      </c>
      <c r="Q505" s="365">
        <v>0.55555555555555558</v>
      </c>
      <c r="R505" s="366">
        <f>IF(Table6[[#This Row],[Work Start TimeStamp]]="","",(Table6[[#This Row],[Work Start TimeStamp]]-Table6[[#This Row],[Fault Start TimeStamp]])*24)</f>
        <v>0</v>
      </c>
      <c r="S505" s="367">
        <f>(Table6[[#This Row],[Fault Clearance time]]-Table6[[#This Row],[Work Start TimeStamp]])*24</f>
        <v>0.38333333333333464</v>
      </c>
      <c r="T505" s="368">
        <f>(Table6[[#This Row],[Fault Clearance time]]-Table6[[#This Row],[Fault Start TimeStamp]])*24</f>
        <v>0.38333333333333464</v>
      </c>
      <c r="U505" s="364" t="s">
        <v>583</v>
      </c>
      <c r="V505" s="369" t="s">
        <v>463</v>
      </c>
      <c r="W505" s="354">
        <f>Table6[[#This Row],[Breakdown Time]]*(1/39)</f>
        <v>9.8290598290598618E-3</v>
      </c>
      <c r="X505" s="352" t="s">
        <v>464</v>
      </c>
      <c r="Y505" s="370" t="s">
        <v>117</v>
      </c>
      <c r="Z505" s="121">
        <v>3562</v>
      </c>
      <c r="AA505" s="123">
        <v>56.893055555555748</v>
      </c>
      <c r="AB505" s="121" t="s">
        <v>478</v>
      </c>
    </row>
    <row r="506" spans="1:28">
      <c r="A506" s="121">
        <f t="shared" si="7"/>
        <v>505</v>
      </c>
      <c r="B506" s="123">
        <f>YEAR(Table6[[#This Row],[Date]])+IF(MONTH(Table6[[#This Row],[Date]])&gt;=4,1,0)</f>
        <v>2026</v>
      </c>
      <c r="C506" s="121">
        <f>YEAR(Table6[[#This Row],[Date]])</f>
        <v>2025</v>
      </c>
      <c r="D506" s="121" t="s">
        <v>490</v>
      </c>
      <c r="E506" s="135">
        <f>Table6[[#This Row],[Date]]-DAY(Table6[[#This Row],[Date]])+1</f>
        <v>45778</v>
      </c>
      <c r="F506" s="134">
        <v>45786</v>
      </c>
      <c r="G506" s="121" t="s">
        <v>120</v>
      </c>
      <c r="H506" s="39" t="str">
        <f>_xlfn.XLOOKUP(Table6[[#This Row],[Affected WTG]],'Basic Data'!$A:$A,'Basic Data'!$B:$B)</f>
        <v>PWEGPL</v>
      </c>
      <c r="I506" s="39" t="str">
        <f>_xlfn.XLOOKUP(Table6[[#This Row],[Affected WTG]],'Basic Data'!$A:$A,'Basic Data'!$C:$C)</f>
        <v>MSEDCL</v>
      </c>
      <c r="J506" s="363">
        <f>IFERROR(VLOOKUP(Table6[[#This Row],[Affected WTG]],'Basic Data'!$A$3:$E$56,5,0),"")</f>
        <v>2.564102564102564E-2</v>
      </c>
      <c r="K506" s="121" t="s">
        <v>466</v>
      </c>
      <c r="L506" s="39" t="str">
        <f>IFERROR(VLOOKUP(Table6[[#This Row],[Error Code]],'Basic Data'!$T:$U,2,0),"")</f>
        <v>Manual Stop</v>
      </c>
      <c r="M506" s="364" t="s">
        <v>507</v>
      </c>
      <c r="O506" s="365">
        <v>0.70625000000000004</v>
      </c>
      <c r="P506" s="365">
        <v>0.70625000000000004</v>
      </c>
      <c r="Q506" s="365">
        <v>0.71944444444444444</v>
      </c>
      <c r="R506" s="366">
        <f>IF(Table6[[#This Row],[Work Start TimeStamp]]="","",(Table6[[#This Row],[Work Start TimeStamp]]-Table6[[#This Row],[Fault Start TimeStamp]])*24)</f>
        <v>0</v>
      </c>
      <c r="S506" s="367">
        <f>(Table6[[#This Row],[Fault Clearance time]]-Table6[[#This Row],[Work Start TimeStamp]])*24</f>
        <v>0.31666666666666554</v>
      </c>
      <c r="T506" s="368">
        <f>(Table6[[#This Row],[Fault Clearance time]]-Table6[[#This Row],[Fault Start TimeStamp]])*24</f>
        <v>0.31666666666666554</v>
      </c>
      <c r="U506" s="364" t="s">
        <v>583</v>
      </c>
      <c r="V506" s="369" t="s">
        <v>463</v>
      </c>
      <c r="W506" s="354">
        <f>Table6[[#This Row],[Breakdown Time]]*(1/39)</f>
        <v>8.1196581196580908E-3</v>
      </c>
      <c r="X506" s="352" t="s">
        <v>464</v>
      </c>
      <c r="Y506" s="370" t="s">
        <v>117</v>
      </c>
      <c r="Z506" s="121">
        <v>3562</v>
      </c>
      <c r="AA506" s="123">
        <v>46.998611111110939</v>
      </c>
      <c r="AB506" s="121" t="s">
        <v>478</v>
      </c>
    </row>
    <row r="507" spans="1:28">
      <c r="A507" s="121">
        <f t="shared" si="7"/>
        <v>506</v>
      </c>
      <c r="B507" s="123">
        <f>YEAR(Table6[[#This Row],[Date]])+IF(MONTH(Table6[[#This Row],[Date]])&gt;=4,1,0)</f>
        <v>2026</v>
      </c>
      <c r="C507" s="121">
        <f>YEAR(Table6[[#This Row],[Date]])</f>
        <v>2025</v>
      </c>
      <c r="D507" s="121" t="s">
        <v>490</v>
      </c>
      <c r="E507" s="135">
        <f>Table6[[#This Row],[Date]]-DAY(Table6[[#This Row],[Date]])+1</f>
        <v>45778</v>
      </c>
      <c r="F507" s="134">
        <v>45786</v>
      </c>
      <c r="G507" s="121" t="s">
        <v>122</v>
      </c>
      <c r="H507" s="39" t="str">
        <f>_xlfn.XLOOKUP(Table6[[#This Row],[Affected WTG]],'Basic Data'!$A:$A,'Basic Data'!$B:$B)</f>
        <v>PWEGPL</v>
      </c>
      <c r="I507" s="39" t="str">
        <f>_xlfn.XLOOKUP(Table6[[#This Row],[Affected WTG]],'Basic Data'!$A:$A,'Basic Data'!$C:$C)</f>
        <v>MSEDCL</v>
      </c>
      <c r="J507" s="363">
        <f>IFERROR(VLOOKUP(Table6[[#This Row],[Affected WTG]],'Basic Data'!$A$3:$E$56,5,0),"")</f>
        <v>2.564102564102564E-2</v>
      </c>
      <c r="K507" s="121" t="s">
        <v>466</v>
      </c>
      <c r="L507" s="39" t="str">
        <f>IFERROR(VLOOKUP(Table6[[#This Row],[Error Code]],'Basic Data'!$T:$U,2,0),"")</f>
        <v>Manual Stop</v>
      </c>
      <c r="M507" s="364" t="s">
        <v>507</v>
      </c>
      <c r="O507" s="365">
        <v>0.47083333333333333</v>
      </c>
      <c r="P507" s="365">
        <v>0.47083333333333333</v>
      </c>
      <c r="Q507" s="365">
        <v>0.49513888888888891</v>
      </c>
      <c r="R507" s="366">
        <f>IF(Table6[[#This Row],[Work Start TimeStamp]]="","",(Table6[[#This Row],[Work Start TimeStamp]]-Table6[[#This Row],[Fault Start TimeStamp]])*24)</f>
        <v>0</v>
      </c>
      <c r="S507" s="367">
        <f>(Table6[[#This Row],[Fault Clearance time]]-Table6[[#This Row],[Work Start TimeStamp]])*24</f>
        <v>0.58333333333333393</v>
      </c>
      <c r="T507" s="368">
        <f>(Table6[[#This Row],[Fault Clearance time]]-Table6[[#This Row],[Fault Start TimeStamp]])*24</f>
        <v>0.58333333333333393</v>
      </c>
      <c r="U507" s="364" t="s">
        <v>583</v>
      </c>
      <c r="V507" s="369" t="s">
        <v>463</v>
      </c>
      <c r="W507" s="354">
        <f>Table6[[#This Row],[Breakdown Time]]*(1/39)</f>
        <v>1.4957264957264972E-2</v>
      </c>
      <c r="X507" s="352" t="s">
        <v>464</v>
      </c>
      <c r="Y507" s="370" t="s">
        <v>117</v>
      </c>
      <c r="Z507" s="121">
        <v>3562</v>
      </c>
      <c r="AA507" s="123">
        <v>86.576388888888971</v>
      </c>
      <c r="AB507" s="121" t="s">
        <v>478</v>
      </c>
    </row>
    <row r="508" spans="1:28">
      <c r="A508" s="121">
        <f t="shared" si="7"/>
        <v>507</v>
      </c>
      <c r="B508" s="123">
        <f>YEAR(Table6[[#This Row],[Date]])+IF(MONTH(Table6[[#This Row],[Date]])&gt;=4,1,0)</f>
        <v>2026</v>
      </c>
      <c r="C508" s="121">
        <f>YEAR(Table6[[#This Row],[Date]])</f>
        <v>2025</v>
      </c>
      <c r="D508" s="121" t="s">
        <v>490</v>
      </c>
      <c r="E508" s="135">
        <f>Table6[[#This Row],[Date]]-DAY(Table6[[#This Row],[Date]])+1</f>
        <v>45778</v>
      </c>
      <c r="F508" s="134">
        <v>45786</v>
      </c>
      <c r="G508" s="121" t="s">
        <v>123</v>
      </c>
      <c r="H508" s="39" t="str">
        <f>_xlfn.XLOOKUP(Table6[[#This Row],[Affected WTG]],'Basic Data'!$A:$A,'Basic Data'!$B:$B)</f>
        <v>PWEGPL</v>
      </c>
      <c r="I508" s="39" t="str">
        <f>_xlfn.XLOOKUP(Table6[[#This Row],[Affected WTG]],'Basic Data'!$A:$A,'Basic Data'!$C:$C)</f>
        <v>MSEDCL</v>
      </c>
      <c r="J508" s="363">
        <f>IFERROR(VLOOKUP(Table6[[#This Row],[Affected WTG]],'Basic Data'!$A$3:$E$56,5,0),"")</f>
        <v>2.564102564102564E-2</v>
      </c>
      <c r="K508" s="121" t="s">
        <v>466</v>
      </c>
      <c r="L508" s="39" t="str">
        <f>IFERROR(VLOOKUP(Table6[[#This Row],[Error Code]],'Basic Data'!$T:$U,2,0),"")</f>
        <v>Manual Stop</v>
      </c>
      <c r="M508" s="364" t="s">
        <v>507</v>
      </c>
      <c r="O508" s="365">
        <v>0.64722222222222225</v>
      </c>
      <c r="P508" s="365">
        <v>0.64722222222222225</v>
      </c>
      <c r="Q508" s="365">
        <v>0.66319444444444442</v>
      </c>
      <c r="R508" s="366">
        <f>IF(Table6[[#This Row],[Work Start TimeStamp]]="","",(Table6[[#This Row],[Work Start TimeStamp]]-Table6[[#This Row],[Fault Start TimeStamp]])*24)</f>
        <v>0</v>
      </c>
      <c r="S508" s="367">
        <f>(Table6[[#This Row],[Fault Clearance time]]-Table6[[#This Row],[Work Start TimeStamp]])*24</f>
        <v>0.38333333333333197</v>
      </c>
      <c r="T508" s="368">
        <f>(Table6[[#This Row],[Fault Clearance time]]-Table6[[#This Row],[Fault Start TimeStamp]])*24</f>
        <v>0.38333333333333197</v>
      </c>
      <c r="U508" s="364" t="s">
        <v>583</v>
      </c>
      <c r="V508" s="369" t="s">
        <v>463</v>
      </c>
      <c r="W508" s="354">
        <f>Table6[[#This Row],[Breakdown Time]]*(1/39)</f>
        <v>9.8290598290597941E-3</v>
      </c>
      <c r="X508" s="352" t="s">
        <v>464</v>
      </c>
      <c r="Y508" s="370" t="s">
        <v>126</v>
      </c>
      <c r="Z508" s="121">
        <v>4056</v>
      </c>
      <c r="AA508" s="123">
        <v>64.783333333333104</v>
      </c>
      <c r="AB508" s="121" t="s">
        <v>478</v>
      </c>
    </row>
    <row r="509" spans="1:28">
      <c r="A509" s="121">
        <f t="shared" si="7"/>
        <v>508</v>
      </c>
      <c r="B509" s="123">
        <f>YEAR(Table6[[#This Row],[Date]])+IF(MONTH(Table6[[#This Row],[Date]])&gt;=4,1,0)</f>
        <v>2026</v>
      </c>
      <c r="C509" s="121">
        <f>YEAR(Table6[[#This Row],[Date]])</f>
        <v>2025</v>
      </c>
      <c r="D509" s="121" t="s">
        <v>490</v>
      </c>
      <c r="E509" s="135">
        <f>Table6[[#This Row],[Date]]-DAY(Table6[[#This Row],[Date]])+1</f>
        <v>45778</v>
      </c>
      <c r="F509" s="134">
        <v>45786</v>
      </c>
      <c r="G509" s="121" t="s">
        <v>124</v>
      </c>
      <c r="H509" s="39" t="str">
        <f>_xlfn.XLOOKUP(Table6[[#This Row],[Affected WTG]],'Basic Data'!$A:$A,'Basic Data'!$B:$B)</f>
        <v>PWEGPL</v>
      </c>
      <c r="I509" s="39" t="str">
        <f>_xlfn.XLOOKUP(Table6[[#This Row],[Affected WTG]],'Basic Data'!$A:$A,'Basic Data'!$C:$C)</f>
        <v>MSEDCL</v>
      </c>
      <c r="J509" s="363">
        <f>IFERROR(VLOOKUP(Table6[[#This Row],[Affected WTG]],'Basic Data'!$A$3:$E$56,5,0),"")</f>
        <v>2.564102564102564E-2</v>
      </c>
      <c r="K509" s="121" t="s">
        <v>466</v>
      </c>
      <c r="L509" s="39" t="str">
        <f>IFERROR(VLOOKUP(Table6[[#This Row],[Error Code]],'Basic Data'!$T:$U,2,0),"")</f>
        <v>Manual Stop</v>
      </c>
      <c r="M509" s="364" t="s">
        <v>507</v>
      </c>
      <c r="O509" s="365">
        <v>0.67777777777777781</v>
      </c>
      <c r="P509" s="365">
        <v>0.67777777777777781</v>
      </c>
      <c r="Q509" s="365">
        <v>0.69166666666666665</v>
      </c>
      <c r="R509" s="366">
        <f>IF(Table6[[#This Row],[Work Start TimeStamp]]="","",(Table6[[#This Row],[Work Start TimeStamp]]-Table6[[#This Row],[Fault Start TimeStamp]])*24)</f>
        <v>0</v>
      </c>
      <c r="S509" s="367">
        <f>(Table6[[#This Row],[Fault Clearance time]]-Table6[[#This Row],[Work Start TimeStamp]])*24</f>
        <v>0.33333333333333215</v>
      </c>
      <c r="T509" s="368">
        <f>(Table6[[#This Row],[Fault Clearance time]]-Table6[[#This Row],[Fault Start TimeStamp]])*24</f>
        <v>0.33333333333333215</v>
      </c>
      <c r="U509" s="364" t="s">
        <v>583</v>
      </c>
      <c r="V509" s="369" t="s">
        <v>463</v>
      </c>
      <c r="W509" s="354">
        <f>Table6[[#This Row],[Breakdown Time]]*(1/39)</f>
        <v>8.5470085470085166E-3</v>
      </c>
      <c r="X509" s="352" t="s">
        <v>464</v>
      </c>
      <c r="Y509" s="370" t="s">
        <v>125</v>
      </c>
      <c r="Z509" s="121">
        <v>4026</v>
      </c>
      <c r="AA509" s="123">
        <v>55.916666666666465</v>
      </c>
      <c r="AB509" s="121" t="s">
        <v>478</v>
      </c>
    </row>
    <row r="510" spans="1:28">
      <c r="A510" s="121">
        <f t="shared" si="7"/>
        <v>509</v>
      </c>
      <c r="B510" s="123">
        <f>YEAR(Table6[[#This Row],[Date]])+IF(MONTH(Table6[[#This Row],[Date]])&gt;=4,1,0)</f>
        <v>2026</v>
      </c>
      <c r="C510" s="121">
        <f>YEAR(Table6[[#This Row],[Date]])</f>
        <v>2025</v>
      </c>
      <c r="D510" s="121" t="s">
        <v>490</v>
      </c>
      <c r="E510" s="135">
        <f>Table6[[#This Row],[Date]]-DAY(Table6[[#This Row],[Date]])+1</f>
        <v>45778</v>
      </c>
      <c r="F510" s="134">
        <v>45786</v>
      </c>
      <c r="G510" s="121" t="s">
        <v>147</v>
      </c>
      <c r="H510" s="39" t="str">
        <f>_xlfn.XLOOKUP(Table6[[#This Row],[Affected WTG]],'Basic Data'!$A:$A,'Basic Data'!$B:$B)</f>
        <v>PWEGPL</v>
      </c>
      <c r="I510" s="39" t="str">
        <f>_xlfn.XLOOKUP(Table6[[#This Row],[Affected WTG]],'Basic Data'!$A:$A,'Basic Data'!$C:$C)</f>
        <v>MSEDCL</v>
      </c>
      <c r="J510" s="363">
        <f>IFERROR(VLOOKUP(Table6[[#This Row],[Affected WTG]],'Basic Data'!$A$3:$E$56,5,0),"")</f>
        <v>2.564102564102564E-2</v>
      </c>
      <c r="K510" s="121" t="s">
        <v>487</v>
      </c>
      <c r="L510" s="39" t="str">
        <f>IFERROR(VLOOKUP(Table6[[#This Row],[Error Code]],'Basic Data'!$T:$U,2,0),"")</f>
        <v>General Work Stoppage</v>
      </c>
      <c r="M510" s="364" t="s">
        <v>479</v>
      </c>
      <c r="O510" s="365">
        <v>0.46527777777777779</v>
      </c>
      <c r="P510" s="365">
        <v>0.46527777777777779</v>
      </c>
      <c r="Q510" s="365">
        <v>0.52083333333333337</v>
      </c>
      <c r="R510" s="366">
        <f>IF(Table6[[#This Row],[Work Start TimeStamp]]="","",(Table6[[#This Row],[Work Start TimeStamp]]-Table6[[#This Row],[Fault Start TimeStamp]])*24)</f>
        <v>0</v>
      </c>
      <c r="S510" s="367">
        <f>(Table6[[#This Row],[Fault Clearance time]]-Table6[[#This Row],[Work Start TimeStamp]])*24</f>
        <v>1.3333333333333339</v>
      </c>
      <c r="T510" s="368">
        <f>(Table6[[#This Row],[Fault Clearance time]]-Table6[[#This Row],[Fault Start TimeStamp]])*24</f>
        <v>1.3333333333333339</v>
      </c>
      <c r="U510" s="364" t="s">
        <v>589</v>
      </c>
      <c r="V510" s="369" t="s">
        <v>463</v>
      </c>
      <c r="W510" s="354">
        <f>Table6[[#This Row],[Breakdown Time]]*(1/39)</f>
        <v>3.4188034188034205E-2</v>
      </c>
      <c r="X510" s="352" t="s">
        <v>464</v>
      </c>
      <c r="Y510" s="370" t="s">
        <v>146</v>
      </c>
      <c r="Z510" s="121">
        <v>3593</v>
      </c>
      <c r="AA510" s="123">
        <v>199.6111111111112</v>
      </c>
      <c r="AB510" s="121" t="s">
        <v>478</v>
      </c>
    </row>
    <row r="511" spans="1:28">
      <c r="A511" s="121">
        <f t="shared" si="7"/>
        <v>510</v>
      </c>
      <c r="B511" s="123">
        <f>YEAR(Table6[[#This Row],[Date]])+IF(MONTH(Table6[[#This Row],[Date]])&gt;=4,1,0)</f>
        <v>2026</v>
      </c>
      <c r="C511" s="121">
        <f>YEAR(Table6[[#This Row],[Date]])</f>
        <v>2025</v>
      </c>
      <c r="D511" s="121" t="s">
        <v>490</v>
      </c>
      <c r="E511" s="135">
        <f>Table6[[#This Row],[Date]]-DAY(Table6[[#This Row],[Date]])+1</f>
        <v>45778</v>
      </c>
      <c r="F511" s="134">
        <v>45786</v>
      </c>
      <c r="G511" s="121" t="s">
        <v>150</v>
      </c>
      <c r="H511" s="39" t="str">
        <f>_xlfn.XLOOKUP(Table6[[#This Row],[Affected WTG]],'Basic Data'!$A:$A,'Basic Data'!$B:$B)</f>
        <v>PWEGPL</v>
      </c>
      <c r="I511" s="39" t="str">
        <f>_xlfn.XLOOKUP(Table6[[#This Row],[Affected WTG]],'Basic Data'!$A:$A,'Basic Data'!$C:$C)</f>
        <v>MSEDCL</v>
      </c>
      <c r="J511" s="363">
        <f>IFERROR(VLOOKUP(Table6[[#This Row],[Affected WTG]],'Basic Data'!$A$3:$E$56,5,0),"")</f>
        <v>2.564102564102564E-2</v>
      </c>
      <c r="K511" s="121">
        <v>1819</v>
      </c>
      <c r="L511" s="39" t="str">
        <f>IFERROR(VLOOKUP(Table6[[#This Row],[Error Code]],'Basic Data'!$T:$U,2,0),"")</f>
        <v>RC Filter Failure</v>
      </c>
      <c r="M511" s="364" t="s">
        <v>462</v>
      </c>
      <c r="O511" s="365">
        <v>0.6020833333333333</v>
      </c>
      <c r="P511" s="365">
        <v>0.62569444444444444</v>
      </c>
      <c r="Q511" s="365">
        <v>0.72916666666666663</v>
      </c>
      <c r="R511" s="366">
        <f>IF(Table6[[#This Row],[Work Start TimeStamp]]="","",(Table6[[#This Row],[Work Start TimeStamp]]-Table6[[#This Row],[Fault Start TimeStamp]])*24)</f>
        <v>0.56666666666666732</v>
      </c>
      <c r="S511" s="367">
        <f>(Table6[[#This Row],[Fault Clearance time]]-Table6[[#This Row],[Work Start TimeStamp]])*24</f>
        <v>2.4833333333333325</v>
      </c>
      <c r="T511" s="368">
        <f>(Table6[[#This Row],[Fault Clearance time]]-Table6[[#This Row],[Fault Start TimeStamp]])*24</f>
        <v>3.05</v>
      </c>
      <c r="U511" s="364" t="s">
        <v>590</v>
      </c>
      <c r="V511" s="369" t="s">
        <v>463</v>
      </c>
      <c r="W511" s="354">
        <f>Table6[[#This Row],[Breakdown Time]]*(1/39)</f>
        <v>7.8205128205128191E-2</v>
      </c>
      <c r="X511" s="352" t="s">
        <v>465</v>
      </c>
      <c r="Y511" s="370" t="s">
        <v>149</v>
      </c>
      <c r="Z511" s="121">
        <v>3578</v>
      </c>
      <c r="AA511" s="123">
        <v>454.70416666666665</v>
      </c>
      <c r="AB511" s="121" t="s">
        <v>478</v>
      </c>
    </row>
    <row r="512" spans="1:28">
      <c r="A512" s="121">
        <f t="shared" si="7"/>
        <v>511</v>
      </c>
      <c r="B512" s="123">
        <f>YEAR(Table6[[#This Row],[Date]])+IF(MONTH(Table6[[#This Row],[Date]])&gt;=4,1,0)</f>
        <v>2026</v>
      </c>
      <c r="C512" s="121">
        <f>YEAR(Table6[[#This Row],[Date]])</f>
        <v>2025</v>
      </c>
      <c r="D512" s="121" t="s">
        <v>490</v>
      </c>
      <c r="E512" s="135">
        <f>Table6[[#This Row],[Date]]-DAY(Table6[[#This Row],[Date]])+1</f>
        <v>45778</v>
      </c>
      <c r="F512" s="134">
        <v>45786</v>
      </c>
      <c r="G512" s="121" t="s">
        <v>152</v>
      </c>
      <c r="H512" s="39" t="str">
        <f>_xlfn.XLOOKUP(Table6[[#This Row],[Affected WTG]],'Basic Data'!$A:$A,'Basic Data'!$B:$B)</f>
        <v>PWEGPL</v>
      </c>
      <c r="I512" s="39" t="str">
        <f>_xlfn.XLOOKUP(Table6[[#This Row],[Affected WTG]],'Basic Data'!$A:$A,'Basic Data'!$C:$C)</f>
        <v>MSEDCL</v>
      </c>
      <c r="J512" s="363">
        <f>IFERROR(VLOOKUP(Table6[[#This Row],[Affected WTG]],'Basic Data'!$A$3:$E$56,5,0),"")</f>
        <v>2.564102564102564E-2</v>
      </c>
      <c r="K512" s="121" t="s">
        <v>487</v>
      </c>
      <c r="L512" s="39" t="str">
        <f>IFERROR(VLOOKUP(Table6[[#This Row],[Error Code]],'Basic Data'!$T:$U,2,0),"")</f>
        <v>General Work Stoppage</v>
      </c>
      <c r="M512" s="364" t="s">
        <v>479</v>
      </c>
      <c r="O512" s="365">
        <v>0.47222222222222221</v>
      </c>
      <c r="P512" s="365">
        <v>0.47222222222222221</v>
      </c>
      <c r="Q512" s="365">
        <v>0.53125</v>
      </c>
      <c r="R512" s="366">
        <f>IF(Table6[[#This Row],[Work Start TimeStamp]]="","",(Table6[[#This Row],[Work Start TimeStamp]]-Table6[[#This Row],[Fault Start TimeStamp]])*24)</f>
        <v>0</v>
      </c>
      <c r="S512" s="367">
        <f>(Table6[[#This Row],[Fault Clearance time]]-Table6[[#This Row],[Work Start TimeStamp]])*24</f>
        <v>1.416666666666667</v>
      </c>
      <c r="T512" s="368">
        <f>(Table6[[#This Row],[Fault Clearance time]]-Table6[[#This Row],[Fault Start TimeStamp]])*24</f>
        <v>1.416666666666667</v>
      </c>
      <c r="U512" s="364" t="s">
        <v>589</v>
      </c>
      <c r="V512" s="369" t="s">
        <v>463</v>
      </c>
      <c r="W512" s="354">
        <f>Table6[[#This Row],[Breakdown Time]]*(1/39)</f>
        <v>3.6324786324786335E-2</v>
      </c>
      <c r="X512" s="352" t="s">
        <v>464</v>
      </c>
      <c r="Y512" s="370" t="s">
        <v>153</v>
      </c>
      <c r="Z512" s="121">
        <v>3566</v>
      </c>
      <c r="AA512" s="123">
        <v>210.4930555555556</v>
      </c>
      <c r="AB512" s="121" t="s">
        <v>478</v>
      </c>
    </row>
    <row r="513" spans="1:28">
      <c r="A513" s="121">
        <f t="shared" si="7"/>
        <v>512</v>
      </c>
      <c r="B513" s="123">
        <f>YEAR(Table6[[#This Row],[Date]])+IF(MONTH(Table6[[#This Row],[Date]])&gt;=4,1,0)</f>
        <v>2026</v>
      </c>
      <c r="C513" s="121">
        <f>YEAR(Table6[[#This Row],[Date]])</f>
        <v>2025</v>
      </c>
      <c r="D513" s="121" t="s">
        <v>490</v>
      </c>
      <c r="E513" s="135">
        <f>Table6[[#This Row],[Date]]-DAY(Table6[[#This Row],[Date]])+1</f>
        <v>45778</v>
      </c>
      <c r="F513" s="134">
        <v>45787</v>
      </c>
      <c r="G513" s="121" t="s">
        <v>144</v>
      </c>
      <c r="H513" s="39" t="str">
        <f>_xlfn.XLOOKUP(Table6[[#This Row],[Affected WTG]],'Basic Data'!$A:$A,'Basic Data'!$B:$B)</f>
        <v>PWEGPL</v>
      </c>
      <c r="I513" s="39" t="str">
        <f>_xlfn.XLOOKUP(Table6[[#This Row],[Affected WTG]],'Basic Data'!$A:$A,'Basic Data'!$C:$C)</f>
        <v>MSEDCL</v>
      </c>
      <c r="J513" s="363">
        <f>IFERROR(VLOOKUP(Table6[[#This Row],[Affected WTG]],'Basic Data'!$A$3:$E$56,5,0),"")</f>
        <v>2.564102564102564E-2</v>
      </c>
      <c r="K513" s="121" t="s">
        <v>492</v>
      </c>
      <c r="L513" s="39" t="str">
        <f>IFERROR(VLOOKUP(Table6[[#This Row],[Error Code]],'Basic Data'!$T:$U,2,0),"")</f>
        <v>Manual Stop - Safety Related</v>
      </c>
      <c r="M513" s="364" t="s">
        <v>481</v>
      </c>
      <c r="O513" s="365">
        <v>0</v>
      </c>
      <c r="P513" s="365">
        <v>0.99930555555555556</v>
      </c>
      <c r="Q513" s="365">
        <v>0.99930555555555556</v>
      </c>
      <c r="R513" s="366">
        <f>IF(Table6[[#This Row],[Work Start TimeStamp]]="","",(Table6[[#This Row],[Work Start TimeStamp]]-Table6[[#This Row],[Fault Start TimeStamp]])*24)</f>
        <v>23.983333333333334</v>
      </c>
      <c r="S513" s="367">
        <f>(Table6[[#This Row],[Fault Clearance time]]-Table6[[#This Row],[Work Start TimeStamp]])*24</f>
        <v>0</v>
      </c>
      <c r="T513" s="368">
        <f>(Table6[[#This Row],[Fault Clearance time]]-Table6[[#This Row],[Fault Start TimeStamp]])*24</f>
        <v>23.983333333333334</v>
      </c>
      <c r="U513" s="364" t="s">
        <v>498</v>
      </c>
      <c r="V513" s="369" t="s">
        <v>473</v>
      </c>
      <c r="W513" s="354">
        <f>Table6[[#This Row],[Breakdown Time]]*(1/39)</f>
        <v>0.61495726495726499</v>
      </c>
      <c r="X513" s="352" t="s">
        <v>468</v>
      </c>
      <c r="Y513" s="370" t="s">
        <v>141</v>
      </c>
      <c r="Z513" s="121">
        <v>4032</v>
      </c>
      <c r="AA513" s="123">
        <v>4029.2000000000003</v>
      </c>
      <c r="AB513" s="121" t="s">
        <v>478</v>
      </c>
    </row>
    <row r="514" spans="1:28">
      <c r="A514" s="121">
        <f t="shared" si="7"/>
        <v>513</v>
      </c>
      <c r="B514" s="123">
        <f>YEAR(Table6[[#This Row],[Date]])+IF(MONTH(Table6[[#This Row],[Date]])&gt;=4,1,0)</f>
        <v>2026</v>
      </c>
      <c r="C514" s="121">
        <f>YEAR(Table6[[#This Row],[Date]])</f>
        <v>2025</v>
      </c>
      <c r="D514" s="121" t="s">
        <v>490</v>
      </c>
      <c r="E514" s="135">
        <f>Table6[[#This Row],[Date]]-DAY(Table6[[#This Row],[Date]])+1</f>
        <v>45778</v>
      </c>
      <c r="F514" s="134">
        <v>45787</v>
      </c>
      <c r="G514" s="121" t="s">
        <v>142</v>
      </c>
      <c r="H514" s="39" t="str">
        <f>_xlfn.XLOOKUP(Table6[[#This Row],[Affected WTG]],'Basic Data'!$A:$A,'Basic Data'!$B:$B)</f>
        <v>PWEGPL</v>
      </c>
      <c r="I514" s="39" t="str">
        <f>_xlfn.XLOOKUP(Table6[[#This Row],[Affected WTG]],'Basic Data'!$A:$A,'Basic Data'!$C:$C)</f>
        <v>MSEDCL</v>
      </c>
      <c r="J514" s="363">
        <f>IFERROR(VLOOKUP(Table6[[#This Row],[Affected WTG]],'Basic Data'!$A$3:$E$56,5,0),"")</f>
        <v>2.564102564102564E-2</v>
      </c>
      <c r="K514" s="121" t="s">
        <v>492</v>
      </c>
      <c r="L514" s="39" t="str">
        <f>IFERROR(VLOOKUP(Table6[[#This Row],[Error Code]],'Basic Data'!$T:$U,2,0),"")</f>
        <v>Manual Stop - Safety Related</v>
      </c>
      <c r="M514" s="364" t="s">
        <v>481</v>
      </c>
      <c r="O514" s="365">
        <v>0</v>
      </c>
      <c r="P514" s="365">
        <v>0.99930555555555556</v>
      </c>
      <c r="Q514" s="365">
        <v>0.99930555555555556</v>
      </c>
      <c r="R514" s="366">
        <f>IF(Table6[[#This Row],[Work Start TimeStamp]]="","",(Table6[[#This Row],[Work Start TimeStamp]]-Table6[[#This Row],[Fault Start TimeStamp]])*24)</f>
        <v>23.983333333333334</v>
      </c>
      <c r="S514" s="367">
        <f>(Table6[[#This Row],[Fault Clearance time]]-Table6[[#This Row],[Work Start TimeStamp]])*24</f>
        <v>0</v>
      </c>
      <c r="T514" s="368">
        <f>(Table6[[#This Row],[Fault Clearance time]]-Table6[[#This Row],[Fault Start TimeStamp]])*24</f>
        <v>23.983333333333334</v>
      </c>
      <c r="U514" s="364" t="s">
        <v>498</v>
      </c>
      <c r="V514" s="369" t="s">
        <v>473</v>
      </c>
      <c r="W514" s="354">
        <f>Table6[[#This Row],[Breakdown Time]]*(1/39)</f>
        <v>0.61495726495726499</v>
      </c>
      <c r="X514" s="352" t="s">
        <v>468</v>
      </c>
      <c r="Y514" s="370" t="s">
        <v>141</v>
      </c>
      <c r="Z514" s="121">
        <v>4032</v>
      </c>
      <c r="AA514" s="123">
        <v>4029.2000000000003</v>
      </c>
      <c r="AB514" s="121" t="s">
        <v>478</v>
      </c>
    </row>
    <row r="515" spans="1:28">
      <c r="A515" s="121">
        <f t="shared" si="7"/>
        <v>514</v>
      </c>
      <c r="B515" s="123">
        <f>YEAR(Table6[[#This Row],[Date]])+IF(MONTH(Table6[[#This Row],[Date]])&gt;=4,1,0)</f>
        <v>2026</v>
      </c>
      <c r="C515" s="121">
        <f>YEAR(Table6[[#This Row],[Date]])</f>
        <v>2025</v>
      </c>
      <c r="D515" s="121" t="s">
        <v>490</v>
      </c>
      <c r="E515" s="135">
        <f>Table6[[#This Row],[Date]]-DAY(Table6[[#This Row],[Date]])+1</f>
        <v>45778</v>
      </c>
      <c r="F515" s="134">
        <v>45787</v>
      </c>
      <c r="G515" s="121" t="s">
        <v>118</v>
      </c>
      <c r="H515" s="39" t="str">
        <f>_xlfn.XLOOKUP(Table6[[#This Row],[Affected WTG]],'Basic Data'!$A:$A,'Basic Data'!$B:$B)</f>
        <v>PWEGPL</v>
      </c>
      <c r="I515" s="39" t="str">
        <f>_xlfn.XLOOKUP(Table6[[#This Row],[Affected WTG]],'Basic Data'!$A:$A,'Basic Data'!$C:$C)</f>
        <v>MSEDCL</v>
      </c>
      <c r="J515" s="363">
        <f>IFERROR(VLOOKUP(Table6[[#This Row],[Affected WTG]],'Basic Data'!$A$3:$E$56,5,0),"")</f>
        <v>2.564102564102564E-2</v>
      </c>
      <c r="K515" s="121">
        <v>222</v>
      </c>
      <c r="L515" s="39" t="str">
        <f>IFERROR(VLOOKUP(Table6[[#This Row],[Error Code]],'Basic Data'!$T:$U,2,0),"")</f>
        <v>Very Low Pressure On Hydraulic Unit</v>
      </c>
      <c r="M515" s="364" t="s">
        <v>462</v>
      </c>
      <c r="O515" s="365">
        <v>0.45694444444444443</v>
      </c>
      <c r="P515" s="365">
        <v>0.49305555555555558</v>
      </c>
      <c r="Q515" s="365">
        <v>0.99930555555555556</v>
      </c>
      <c r="R515" s="366">
        <f>IF(Table6[[#This Row],[Work Start TimeStamp]]="","",(Table6[[#This Row],[Work Start TimeStamp]]-Table6[[#This Row],[Fault Start TimeStamp]])*24)</f>
        <v>0.86666666666666758</v>
      </c>
      <c r="S515" s="367">
        <f>(Table6[[#This Row],[Fault Clearance time]]-Table6[[#This Row],[Work Start TimeStamp]])*24</f>
        <v>12.149999999999999</v>
      </c>
      <c r="T515" s="368">
        <f>(Table6[[#This Row],[Fault Clearance time]]-Table6[[#This Row],[Fault Start TimeStamp]])*24</f>
        <v>13.016666666666666</v>
      </c>
      <c r="U515" s="364" t="s">
        <v>500</v>
      </c>
      <c r="V515" s="369" t="s">
        <v>473</v>
      </c>
      <c r="W515" s="354">
        <f>Table6[[#This Row],[Breakdown Time]]*(1/39)</f>
        <v>0.33376068376068374</v>
      </c>
      <c r="X515" s="352" t="s">
        <v>465</v>
      </c>
      <c r="Y515" s="370" t="s">
        <v>117</v>
      </c>
      <c r="Z515" s="121">
        <v>6673</v>
      </c>
      <c r="AA515" s="123">
        <v>3619.1756944444446</v>
      </c>
      <c r="AB515" s="121" t="s">
        <v>478</v>
      </c>
    </row>
    <row r="516" spans="1:28">
      <c r="A516" s="121">
        <f t="shared" ref="A516:A579" si="8">A515+1</f>
        <v>515</v>
      </c>
      <c r="B516" s="123">
        <f>YEAR(Table6[[#This Row],[Date]])+IF(MONTH(Table6[[#This Row],[Date]])&gt;=4,1,0)</f>
        <v>2026</v>
      </c>
      <c r="C516" s="121">
        <f>YEAR(Table6[[#This Row],[Date]])</f>
        <v>2025</v>
      </c>
      <c r="D516" s="121" t="s">
        <v>490</v>
      </c>
      <c r="E516" s="135">
        <f>Table6[[#This Row],[Date]]-DAY(Table6[[#This Row],[Date]])+1</f>
        <v>45778</v>
      </c>
      <c r="F516" s="134">
        <v>45787</v>
      </c>
      <c r="G516" s="121" t="s">
        <v>123</v>
      </c>
      <c r="H516" s="39" t="str">
        <f>_xlfn.XLOOKUP(Table6[[#This Row],[Affected WTG]],'Basic Data'!$A:$A,'Basic Data'!$B:$B)</f>
        <v>PWEGPL</v>
      </c>
      <c r="I516" s="39" t="str">
        <f>_xlfn.XLOOKUP(Table6[[#This Row],[Affected WTG]],'Basic Data'!$A:$A,'Basic Data'!$C:$C)</f>
        <v>MSEDCL</v>
      </c>
      <c r="J516" s="363">
        <f>IFERROR(VLOOKUP(Table6[[#This Row],[Affected WTG]],'Basic Data'!$A$3:$E$56,5,0),"")</f>
        <v>2.564102564102564E-2</v>
      </c>
      <c r="K516" s="121">
        <v>800</v>
      </c>
      <c r="L516" s="39" t="str">
        <f>IFERROR(VLOOKUP(Table6[[#This Row],[Error Code]],'Basic Data'!$T:$U,2,0),"")</f>
        <v>Pitch Drive Error</v>
      </c>
      <c r="M516" s="364" t="s">
        <v>462</v>
      </c>
      <c r="O516" s="365">
        <v>0.68472222222222223</v>
      </c>
      <c r="P516" s="365">
        <v>0.70486111111111116</v>
      </c>
      <c r="Q516" s="365">
        <v>0.79027777777777775</v>
      </c>
      <c r="R516" s="366">
        <f>IF(Table6[[#This Row],[Work Start TimeStamp]]="","",(Table6[[#This Row],[Work Start TimeStamp]]-Table6[[#This Row],[Fault Start TimeStamp]])*24)</f>
        <v>0.48333333333333428</v>
      </c>
      <c r="S516" s="367">
        <f>(Table6[[#This Row],[Fault Clearance time]]-Table6[[#This Row],[Work Start TimeStamp]])*24</f>
        <v>2.049999999999998</v>
      </c>
      <c r="T516" s="368">
        <f>(Table6[[#This Row],[Fault Clearance time]]-Table6[[#This Row],[Fault Start TimeStamp]])*24</f>
        <v>2.5333333333333323</v>
      </c>
      <c r="U516" s="364" t="s">
        <v>591</v>
      </c>
      <c r="V516" s="369" t="s">
        <v>463</v>
      </c>
      <c r="W516" s="354">
        <f>Table6[[#This Row],[Breakdown Time]]*(1/39)</f>
        <v>6.4957264957264935E-2</v>
      </c>
      <c r="X516" s="352" t="s">
        <v>465</v>
      </c>
      <c r="Y516" s="370" t="s">
        <v>126</v>
      </c>
      <c r="Z516" s="121">
        <v>7043</v>
      </c>
      <c r="AA516" s="123">
        <v>743.42777777777746</v>
      </c>
      <c r="AB516" s="121" t="s">
        <v>478</v>
      </c>
    </row>
    <row r="517" spans="1:28">
      <c r="A517" s="121">
        <f t="shared" si="8"/>
        <v>516</v>
      </c>
      <c r="B517" s="123">
        <f>YEAR(Table6[[#This Row],[Date]])+IF(MONTH(Table6[[#This Row],[Date]])&gt;=4,1,0)</f>
        <v>2026</v>
      </c>
      <c r="C517" s="121">
        <f>YEAR(Table6[[#This Row],[Date]])</f>
        <v>2025</v>
      </c>
      <c r="D517" s="121" t="s">
        <v>490</v>
      </c>
      <c r="E517" s="135">
        <f>Table6[[#This Row],[Date]]-DAY(Table6[[#This Row],[Date]])+1</f>
        <v>45778</v>
      </c>
      <c r="F517" s="134">
        <v>45788</v>
      </c>
      <c r="G517" s="121" t="s">
        <v>144</v>
      </c>
      <c r="H517" s="39" t="str">
        <f>_xlfn.XLOOKUP(Table6[[#This Row],[Affected WTG]],'Basic Data'!$A:$A,'Basic Data'!$B:$B)</f>
        <v>PWEGPL</v>
      </c>
      <c r="I517" s="39" t="str">
        <f>_xlfn.XLOOKUP(Table6[[#This Row],[Affected WTG]],'Basic Data'!$A:$A,'Basic Data'!$C:$C)</f>
        <v>MSEDCL</v>
      </c>
      <c r="J517" s="363">
        <f>IFERROR(VLOOKUP(Table6[[#This Row],[Affected WTG]],'Basic Data'!$A$3:$E$56,5,0),"")</f>
        <v>2.564102564102564E-2</v>
      </c>
      <c r="K517" s="121" t="s">
        <v>492</v>
      </c>
      <c r="L517" s="39" t="str">
        <f>IFERROR(VLOOKUP(Table6[[#This Row],[Error Code]],'Basic Data'!$T:$U,2,0),"")</f>
        <v>Manual Stop - Safety Related</v>
      </c>
      <c r="M517" s="364" t="s">
        <v>481</v>
      </c>
      <c r="O517" s="365">
        <v>0</v>
      </c>
      <c r="P517" s="365">
        <v>0.99930555555555556</v>
      </c>
      <c r="Q517" s="365">
        <v>0.99930555555555556</v>
      </c>
      <c r="R517" s="366">
        <f>IF(Table6[[#This Row],[Work Start TimeStamp]]="","",(Table6[[#This Row],[Work Start TimeStamp]]-Table6[[#This Row],[Fault Start TimeStamp]])*24)</f>
        <v>23.983333333333334</v>
      </c>
      <c r="S517" s="367">
        <f>(Table6[[#This Row],[Fault Clearance time]]-Table6[[#This Row],[Work Start TimeStamp]])*24</f>
        <v>0</v>
      </c>
      <c r="T517" s="368">
        <f>(Table6[[#This Row],[Fault Clearance time]]-Table6[[#This Row],[Fault Start TimeStamp]])*24</f>
        <v>23.983333333333334</v>
      </c>
      <c r="U517" s="364" t="s">
        <v>498</v>
      </c>
      <c r="V517" s="369" t="s">
        <v>473</v>
      </c>
      <c r="W517" s="354">
        <f>Table6[[#This Row],[Breakdown Time]]*(1/39)</f>
        <v>0.61495726495726499</v>
      </c>
      <c r="X517" s="352" t="s">
        <v>468</v>
      </c>
      <c r="Y517" s="370" t="s">
        <v>141</v>
      </c>
      <c r="Z517" s="121">
        <v>8517</v>
      </c>
      <c r="AA517" s="123">
        <v>8511.0854166666668</v>
      </c>
      <c r="AB517" s="121" t="s">
        <v>478</v>
      </c>
    </row>
    <row r="518" spans="1:28">
      <c r="A518" s="121">
        <f t="shared" si="8"/>
        <v>517</v>
      </c>
      <c r="B518" s="123">
        <f>YEAR(Table6[[#This Row],[Date]])+IF(MONTH(Table6[[#This Row],[Date]])&gt;=4,1,0)</f>
        <v>2026</v>
      </c>
      <c r="C518" s="121">
        <f>YEAR(Table6[[#This Row],[Date]])</f>
        <v>2025</v>
      </c>
      <c r="D518" s="121" t="s">
        <v>490</v>
      </c>
      <c r="E518" s="135">
        <f>Table6[[#This Row],[Date]]-DAY(Table6[[#This Row],[Date]])+1</f>
        <v>45778</v>
      </c>
      <c r="F518" s="134">
        <v>45788</v>
      </c>
      <c r="G518" s="121" t="s">
        <v>142</v>
      </c>
      <c r="H518" s="39" t="str">
        <f>_xlfn.XLOOKUP(Table6[[#This Row],[Affected WTG]],'Basic Data'!$A:$A,'Basic Data'!$B:$B)</f>
        <v>PWEGPL</v>
      </c>
      <c r="I518" s="39" t="str">
        <f>_xlfn.XLOOKUP(Table6[[#This Row],[Affected WTG]],'Basic Data'!$A:$A,'Basic Data'!$C:$C)</f>
        <v>MSEDCL</v>
      </c>
      <c r="J518" s="363">
        <f>IFERROR(VLOOKUP(Table6[[#This Row],[Affected WTG]],'Basic Data'!$A$3:$E$56,5,0),"")</f>
        <v>2.564102564102564E-2</v>
      </c>
      <c r="K518" s="121" t="s">
        <v>492</v>
      </c>
      <c r="L518" s="39" t="str">
        <f>IFERROR(VLOOKUP(Table6[[#This Row],[Error Code]],'Basic Data'!$T:$U,2,0),"")</f>
        <v>Manual Stop - Safety Related</v>
      </c>
      <c r="M518" s="364" t="s">
        <v>481</v>
      </c>
      <c r="O518" s="365">
        <v>0</v>
      </c>
      <c r="P518" s="365">
        <v>0.99930555555555556</v>
      </c>
      <c r="Q518" s="365">
        <v>0.99930555555555556</v>
      </c>
      <c r="R518" s="366">
        <f>IF(Table6[[#This Row],[Work Start TimeStamp]]="","",(Table6[[#This Row],[Work Start TimeStamp]]-Table6[[#This Row],[Fault Start TimeStamp]])*24)</f>
        <v>23.983333333333334</v>
      </c>
      <c r="S518" s="367">
        <f>(Table6[[#This Row],[Fault Clearance time]]-Table6[[#This Row],[Work Start TimeStamp]])*24</f>
        <v>0</v>
      </c>
      <c r="T518" s="368">
        <f>(Table6[[#This Row],[Fault Clearance time]]-Table6[[#This Row],[Fault Start TimeStamp]])*24</f>
        <v>23.983333333333334</v>
      </c>
      <c r="U518" s="364" t="s">
        <v>498</v>
      </c>
      <c r="V518" s="369" t="s">
        <v>473</v>
      </c>
      <c r="W518" s="354">
        <f>Table6[[#This Row],[Breakdown Time]]*(1/39)</f>
        <v>0.61495726495726499</v>
      </c>
      <c r="X518" s="352" t="s">
        <v>468</v>
      </c>
      <c r="Y518" s="370" t="s">
        <v>141</v>
      </c>
      <c r="Z518" s="121">
        <v>8517</v>
      </c>
      <c r="AA518" s="123">
        <v>8511.0854166666668</v>
      </c>
      <c r="AB518" s="121" t="s">
        <v>478</v>
      </c>
    </row>
    <row r="519" spans="1:28">
      <c r="A519" s="121">
        <f t="shared" si="8"/>
        <v>518</v>
      </c>
      <c r="B519" s="123">
        <f>YEAR(Table6[[#This Row],[Date]])+IF(MONTH(Table6[[#This Row],[Date]])&gt;=4,1,0)</f>
        <v>2026</v>
      </c>
      <c r="C519" s="121">
        <f>YEAR(Table6[[#This Row],[Date]])</f>
        <v>2025</v>
      </c>
      <c r="D519" s="121" t="s">
        <v>490</v>
      </c>
      <c r="E519" s="135">
        <f>Table6[[#This Row],[Date]]-DAY(Table6[[#This Row],[Date]])+1</f>
        <v>45778</v>
      </c>
      <c r="F519" s="134">
        <v>45788</v>
      </c>
      <c r="G519" s="121" t="s">
        <v>118</v>
      </c>
      <c r="H519" s="39" t="str">
        <f>_xlfn.XLOOKUP(Table6[[#This Row],[Affected WTG]],'Basic Data'!$A:$A,'Basic Data'!$B:$B)</f>
        <v>PWEGPL</v>
      </c>
      <c r="I519" s="39" t="str">
        <f>_xlfn.XLOOKUP(Table6[[#This Row],[Affected WTG]],'Basic Data'!$A:$A,'Basic Data'!$C:$C)</f>
        <v>MSEDCL</v>
      </c>
      <c r="J519" s="363">
        <f>IFERROR(VLOOKUP(Table6[[#This Row],[Affected WTG]],'Basic Data'!$A$3:$E$56,5,0),"")</f>
        <v>2.564102564102564E-2</v>
      </c>
      <c r="K519" s="121">
        <v>222</v>
      </c>
      <c r="L519" s="39" t="str">
        <f>IFERROR(VLOOKUP(Table6[[#This Row],[Error Code]],'Basic Data'!$T:$U,2,0),"")</f>
        <v>Very Low Pressure On Hydraulic Unit</v>
      </c>
      <c r="M519" s="364" t="s">
        <v>462</v>
      </c>
      <c r="O519" s="365">
        <v>0</v>
      </c>
      <c r="P519" s="365">
        <v>0.51249999999999996</v>
      </c>
      <c r="Q519" s="365">
        <v>0.5708333333333333</v>
      </c>
      <c r="R519" s="366">
        <f>IF(Table6[[#This Row],[Work Start TimeStamp]]="","",(Table6[[#This Row],[Work Start TimeStamp]]-Table6[[#This Row],[Fault Start TimeStamp]])*24)</f>
        <v>12.299999999999999</v>
      </c>
      <c r="S519" s="367">
        <f>(Table6[[#This Row],[Fault Clearance time]]-Table6[[#This Row],[Work Start TimeStamp]])*24</f>
        <v>1.4000000000000004</v>
      </c>
      <c r="T519" s="368">
        <f>(Table6[[#This Row],[Fault Clearance time]]-Table6[[#This Row],[Fault Start TimeStamp]])*24</f>
        <v>13.7</v>
      </c>
      <c r="U519" s="364" t="s">
        <v>592</v>
      </c>
      <c r="V519" s="369" t="s">
        <v>463</v>
      </c>
      <c r="W519" s="354">
        <f>Table6[[#This Row],[Breakdown Time]]*(1/39)</f>
        <v>0.35128205128205126</v>
      </c>
      <c r="X519" s="352" t="s">
        <v>465</v>
      </c>
      <c r="Y519" s="370" t="s">
        <v>117</v>
      </c>
      <c r="Z519" s="121">
        <v>12116</v>
      </c>
      <c r="AA519" s="123">
        <v>6916.2166666666662</v>
      </c>
      <c r="AB519" s="121" t="s">
        <v>478</v>
      </c>
    </row>
    <row r="520" spans="1:28">
      <c r="A520" s="121">
        <f t="shared" si="8"/>
        <v>519</v>
      </c>
      <c r="B520" s="123">
        <f>YEAR(Table6[[#This Row],[Date]])+IF(MONTH(Table6[[#This Row],[Date]])&gt;=4,1,0)</f>
        <v>2026</v>
      </c>
      <c r="C520" s="121">
        <f>YEAR(Table6[[#This Row],[Date]])</f>
        <v>2025</v>
      </c>
      <c r="D520" s="121" t="s">
        <v>490</v>
      </c>
      <c r="E520" s="135">
        <f>Table6[[#This Row],[Date]]-DAY(Table6[[#This Row],[Date]])+1</f>
        <v>45778</v>
      </c>
      <c r="F520" s="134">
        <v>45788</v>
      </c>
      <c r="G520" s="121" t="s">
        <v>135</v>
      </c>
      <c r="H520" s="39" t="str">
        <f>_xlfn.XLOOKUP(Table6[[#This Row],[Affected WTG]],'Basic Data'!$A:$A,'Basic Data'!$B:$B)</f>
        <v>PWEGPL</v>
      </c>
      <c r="I520" s="39" t="str">
        <f>_xlfn.XLOOKUP(Table6[[#This Row],[Affected WTG]],'Basic Data'!$A:$A,'Basic Data'!$C:$C)</f>
        <v>MSEDCL</v>
      </c>
      <c r="J520" s="363">
        <f>IFERROR(VLOOKUP(Table6[[#This Row],[Affected WTG]],'Basic Data'!$A$3:$E$56,5,0),"")</f>
        <v>2.564102564102564E-2</v>
      </c>
      <c r="K520" s="121">
        <v>5228</v>
      </c>
      <c r="L520" s="39" t="str">
        <f>IFERROR(VLOOKUP(Table6[[#This Row],[Error Code]],'Basic Data'!$T:$U,2,0),"")</f>
        <v>Preload Failure</v>
      </c>
      <c r="M520" s="364" t="s">
        <v>462</v>
      </c>
      <c r="O520" s="365">
        <v>0.35416666666666669</v>
      </c>
      <c r="P520" s="365">
        <v>0.4236111111111111</v>
      </c>
      <c r="Q520" s="365">
        <v>0.99930555555555556</v>
      </c>
      <c r="R520" s="366">
        <f>IF(Table6[[#This Row],[Work Start TimeStamp]]="","",(Table6[[#This Row],[Work Start TimeStamp]]-Table6[[#This Row],[Fault Start TimeStamp]])*24)</f>
        <v>1.6666666666666661</v>
      </c>
      <c r="S520" s="367">
        <f>(Table6[[#This Row],[Fault Clearance time]]-Table6[[#This Row],[Work Start TimeStamp]])*24</f>
        <v>13.816666666666668</v>
      </c>
      <c r="T520" s="368">
        <f>(Table6[[#This Row],[Fault Clearance time]]-Table6[[#This Row],[Fault Start TimeStamp]])*24</f>
        <v>15.483333333333334</v>
      </c>
      <c r="U520" s="364" t="s">
        <v>593</v>
      </c>
      <c r="V520" s="369" t="s">
        <v>473</v>
      </c>
      <c r="W520" s="354">
        <f>Table6[[#This Row],[Breakdown Time]]*(1/39)</f>
        <v>0.39700854700854704</v>
      </c>
      <c r="X520" s="352" t="s">
        <v>465</v>
      </c>
      <c r="Y520" s="370" t="s">
        <v>136</v>
      </c>
      <c r="Z520" s="121">
        <v>8658</v>
      </c>
      <c r="AA520" s="123">
        <v>5585.6125000000002</v>
      </c>
      <c r="AB520" s="121" t="s">
        <v>478</v>
      </c>
    </row>
    <row r="521" spans="1:28">
      <c r="A521" s="121">
        <f t="shared" si="8"/>
        <v>520</v>
      </c>
      <c r="B521" s="123">
        <f>YEAR(Table6[[#This Row],[Date]])+IF(MONTH(Table6[[#This Row],[Date]])&gt;=4,1,0)</f>
        <v>2026</v>
      </c>
      <c r="C521" s="121">
        <f>YEAR(Table6[[#This Row],[Date]])</f>
        <v>2025</v>
      </c>
      <c r="D521" s="121" t="s">
        <v>490</v>
      </c>
      <c r="E521" s="135">
        <f>Table6[[#This Row],[Date]]-DAY(Table6[[#This Row],[Date]])+1</f>
        <v>45778</v>
      </c>
      <c r="F521" s="134">
        <v>45788</v>
      </c>
      <c r="G521" s="121" t="s">
        <v>137</v>
      </c>
      <c r="H521" s="39" t="str">
        <f>_xlfn.XLOOKUP(Table6[[#This Row],[Affected WTG]],'Basic Data'!$A:$A,'Basic Data'!$B:$B)</f>
        <v>PWEGPL</v>
      </c>
      <c r="I521" s="39" t="str">
        <f>_xlfn.XLOOKUP(Table6[[#This Row],[Affected WTG]],'Basic Data'!$A:$A,'Basic Data'!$C:$C)</f>
        <v>MSEDCL</v>
      </c>
      <c r="J521" s="363">
        <f>IFERROR(VLOOKUP(Table6[[#This Row],[Affected WTG]],'Basic Data'!$A$3:$E$56,5,0),"")</f>
        <v>2.564102564102564E-2</v>
      </c>
      <c r="K521" s="121">
        <v>2118</v>
      </c>
      <c r="L521" s="39" t="str">
        <f>IFERROR(VLOOKUP(Table6[[#This Row],[Error Code]],'Basic Data'!$T:$U,2,0),"")</f>
        <v>Bus Error - Interbus Failure</v>
      </c>
      <c r="M521" s="364" t="s">
        <v>462</v>
      </c>
      <c r="O521" s="365">
        <v>0.4375</v>
      </c>
      <c r="P521" s="365">
        <v>0.46875</v>
      </c>
      <c r="Q521" s="365">
        <v>0.96111111111111114</v>
      </c>
      <c r="R521" s="366">
        <f>IF(Table6[[#This Row],[Work Start TimeStamp]]="","",(Table6[[#This Row],[Work Start TimeStamp]]-Table6[[#This Row],[Fault Start TimeStamp]])*24)</f>
        <v>0.75</v>
      </c>
      <c r="S521" s="367">
        <f>(Table6[[#This Row],[Fault Clearance time]]-Table6[[#This Row],[Work Start TimeStamp]])*24</f>
        <v>11.816666666666666</v>
      </c>
      <c r="T521" s="368">
        <f>(Table6[[#This Row],[Fault Clearance time]]-Table6[[#This Row],[Fault Start TimeStamp]])*24</f>
        <v>12.566666666666666</v>
      </c>
      <c r="U521" s="364" t="s">
        <v>594</v>
      </c>
      <c r="V521" s="369" t="s">
        <v>463</v>
      </c>
      <c r="W521" s="354">
        <f>Table6[[#This Row],[Breakdown Time]]*(1/39)</f>
        <v>0.32222222222222219</v>
      </c>
      <c r="X521" s="352" t="s">
        <v>465</v>
      </c>
      <c r="Y521" s="370" t="s">
        <v>136</v>
      </c>
      <c r="Z521" s="121">
        <v>8658</v>
      </c>
      <c r="AA521" s="123">
        <v>4533.4250000000002</v>
      </c>
      <c r="AB521" s="121" t="s">
        <v>478</v>
      </c>
    </row>
    <row r="522" spans="1:28">
      <c r="A522" s="121">
        <f t="shared" si="8"/>
        <v>521</v>
      </c>
      <c r="B522" s="123">
        <f>YEAR(Table6[[#This Row],[Date]])+IF(MONTH(Table6[[#This Row],[Date]])&gt;=4,1,0)</f>
        <v>2026</v>
      </c>
      <c r="C522" s="121">
        <f>YEAR(Table6[[#This Row],[Date]])</f>
        <v>2025</v>
      </c>
      <c r="D522" s="121" t="s">
        <v>490</v>
      </c>
      <c r="E522" s="135">
        <f>Table6[[#This Row],[Date]]-DAY(Table6[[#This Row],[Date]])+1</f>
        <v>45778</v>
      </c>
      <c r="F522" s="134">
        <v>45789</v>
      </c>
      <c r="G522" s="121" t="s">
        <v>144</v>
      </c>
      <c r="H522" s="39" t="str">
        <f>_xlfn.XLOOKUP(Table6[[#This Row],[Affected WTG]],'Basic Data'!$A:$A,'Basic Data'!$B:$B)</f>
        <v>PWEGPL</v>
      </c>
      <c r="I522" s="39" t="str">
        <f>_xlfn.XLOOKUP(Table6[[#This Row],[Affected WTG]],'Basic Data'!$A:$A,'Basic Data'!$C:$C)</f>
        <v>MSEDCL</v>
      </c>
      <c r="J522" s="363">
        <f>IFERROR(VLOOKUP(Table6[[#This Row],[Affected WTG]],'Basic Data'!$A$3:$E$56,5,0),"")</f>
        <v>2.564102564102564E-2</v>
      </c>
      <c r="K522" s="121" t="s">
        <v>492</v>
      </c>
      <c r="L522" s="39" t="str">
        <f>IFERROR(VLOOKUP(Table6[[#This Row],[Error Code]],'Basic Data'!$T:$U,2,0),"")</f>
        <v>Manual Stop - Safety Related</v>
      </c>
      <c r="M522" s="364" t="s">
        <v>481</v>
      </c>
      <c r="O522" s="365">
        <v>0</v>
      </c>
      <c r="P522" s="365">
        <v>0.99930555555555556</v>
      </c>
      <c r="Q522" s="365">
        <v>0.99930555555555556</v>
      </c>
      <c r="R522" s="366">
        <f>IF(Table6[[#This Row],[Work Start TimeStamp]]="","",(Table6[[#This Row],[Work Start TimeStamp]]-Table6[[#This Row],[Fault Start TimeStamp]])*24)</f>
        <v>23.983333333333334</v>
      </c>
      <c r="S522" s="367">
        <f>(Table6[[#This Row],[Fault Clearance time]]-Table6[[#This Row],[Work Start TimeStamp]])*24</f>
        <v>0</v>
      </c>
      <c r="T522" s="368">
        <f>(Table6[[#This Row],[Fault Clearance time]]-Table6[[#This Row],[Fault Start TimeStamp]])*24</f>
        <v>23.983333333333334</v>
      </c>
      <c r="U522" s="364" t="s">
        <v>498</v>
      </c>
      <c r="V522" s="369" t="s">
        <v>473</v>
      </c>
      <c r="W522" s="354">
        <f>Table6[[#This Row],[Breakdown Time]]*(1/39)</f>
        <v>0.61495726495726499</v>
      </c>
      <c r="X522" s="352" t="s">
        <v>468</v>
      </c>
      <c r="Y522" s="370" t="s">
        <v>141</v>
      </c>
      <c r="Z522" s="121">
        <v>4215</v>
      </c>
      <c r="AA522" s="123">
        <v>4212.072916666667</v>
      </c>
      <c r="AB522" s="121" t="s">
        <v>478</v>
      </c>
    </row>
    <row r="523" spans="1:28">
      <c r="A523" s="121">
        <f t="shared" si="8"/>
        <v>522</v>
      </c>
      <c r="B523" s="123">
        <f>YEAR(Table6[[#This Row],[Date]])+IF(MONTH(Table6[[#This Row],[Date]])&gt;=4,1,0)</f>
        <v>2026</v>
      </c>
      <c r="C523" s="121">
        <f>YEAR(Table6[[#This Row],[Date]])</f>
        <v>2025</v>
      </c>
      <c r="D523" s="121" t="s">
        <v>490</v>
      </c>
      <c r="E523" s="135">
        <f>Table6[[#This Row],[Date]]-DAY(Table6[[#This Row],[Date]])+1</f>
        <v>45778</v>
      </c>
      <c r="F523" s="134">
        <v>45789</v>
      </c>
      <c r="G523" s="121" t="s">
        <v>142</v>
      </c>
      <c r="H523" s="39" t="str">
        <f>_xlfn.XLOOKUP(Table6[[#This Row],[Affected WTG]],'Basic Data'!$A:$A,'Basic Data'!$B:$B)</f>
        <v>PWEGPL</v>
      </c>
      <c r="I523" s="39" t="str">
        <f>_xlfn.XLOOKUP(Table6[[#This Row],[Affected WTG]],'Basic Data'!$A:$A,'Basic Data'!$C:$C)</f>
        <v>MSEDCL</v>
      </c>
      <c r="J523" s="363">
        <f>IFERROR(VLOOKUP(Table6[[#This Row],[Affected WTG]],'Basic Data'!$A$3:$E$56,5,0),"")</f>
        <v>2.564102564102564E-2</v>
      </c>
      <c r="K523" s="121" t="s">
        <v>492</v>
      </c>
      <c r="L523" s="39" t="str">
        <f>IFERROR(VLOOKUP(Table6[[#This Row],[Error Code]],'Basic Data'!$T:$U,2,0),"")</f>
        <v>Manual Stop - Safety Related</v>
      </c>
      <c r="M523" s="364" t="s">
        <v>481</v>
      </c>
      <c r="O523" s="365">
        <v>0</v>
      </c>
      <c r="P523" s="365">
        <v>0.99930555555555556</v>
      </c>
      <c r="Q523" s="365">
        <v>0.99930555555555556</v>
      </c>
      <c r="R523" s="366">
        <f>IF(Table6[[#This Row],[Work Start TimeStamp]]="","",(Table6[[#This Row],[Work Start TimeStamp]]-Table6[[#This Row],[Fault Start TimeStamp]])*24)</f>
        <v>23.983333333333334</v>
      </c>
      <c r="S523" s="367">
        <f>(Table6[[#This Row],[Fault Clearance time]]-Table6[[#This Row],[Work Start TimeStamp]])*24</f>
        <v>0</v>
      </c>
      <c r="T523" s="368">
        <f>(Table6[[#This Row],[Fault Clearance time]]-Table6[[#This Row],[Fault Start TimeStamp]])*24</f>
        <v>23.983333333333334</v>
      </c>
      <c r="U523" s="364" t="s">
        <v>498</v>
      </c>
      <c r="V523" s="369" t="s">
        <v>473</v>
      </c>
      <c r="W523" s="354">
        <f>Table6[[#This Row],[Breakdown Time]]*(1/39)</f>
        <v>0.61495726495726499</v>
      </c>
      <c r="X523" s="352" t="s">
        <v>468</v>
      </c>
      <c r="Y523" s="370" t="s">
        <v>141</v>
      </c>
      <c r="Z523" s="121">
        <v>4215</v>
      </c>
      <c r="AA523" s="123">
        <v>4212.072916666667</v>
      </c>
      <c r="AB523" s="121" t="s">
        <v>478</v>
      </c>
    </row>
    <row r="524" spans="1:28">
      <c r="A524" s="121">
        <f t="shared" si="8"/>
        <v>523</v>
      </c>
      <c r="B524" s="123">
        <f>YEAR(Table6[[#This Row],[Date]])+IF(MONTH(Table6[[#This Row],[Date]])&gt;=4,1,0)</f>
        <v>2026</v>
      </c>
      <c r="C524" s="121">
        <f>YEAR(Table6[[#This Row],[Date]])</f>
        <v>2025</v>
      </c>
      <c r="D524" s="121" t="s">
        <v>490</v>
      </c>
      <c r="E524" s="135">
        <f>Table6[[#This Row],[Date]]-DAY(Table6[[#This Row],[Date]])+1</f>
        <v>45778</v>
      </c>
      <c r="F524" s="134">
        <v>45789</v>
      </c>
      <c r="G524" s="121" t="s">
        <v>118</v>
      </c>
      <c r="H524" s="39" t="str">
        <f>_xlfn.XLOOKUP(Table6[[#This Row],[Affected WTG]],'Basic Data'!$A:$A,'Basic Data'!$B:$B)</f>
        <v>PWEGPL</v>
      </c>
      <c r="I524" s="39" t="str">
        <f>_xlfn.XLOOKUP(Table6[[#This Row],[Affected WTG]],'Basic Data'!$A:$A,'Basic Data'!$C:$C)</f>
        <v>MSEDCL</v>
      </c>
      <c r="J524" s="363">
        <f>IFERROR(VLOOKUP(Table6[[#This Row],[Affected WTG]],'Basic Data'!$A$3:$E$56,5,0),"")</f>
        <v>2.564102564102564E-2</v>
      </c>
      <c r="K524" s="121">
        <v>222</v>
      </c>
      <c r="L524" s="39" t="str">
        <f>IFERROR(VLOOKUP(Table6[[#This Row],[Error Code]],'Basic Data'!$T:$U,2,0),"")</f>
        <v>Very Low Pressure On Hydraulic Unit</v>
      </c>
      <c r="M524" s="364" t="s">
        <v>462</v>
      </c>
      <c r="O524" s="365">
        <v>0.38611111111111113</v>
      </c>
      <c r="P524" s="365">
        <v>0.49791666666666667</v>
      </c>
      <c r="Q524" s="365">
        <v>0.5708333333333333</v>
      </c>
      <c r="R524" s="366">
        <f>IF(Table6[[#This Row],[Work Start TimeStamp]]="","",(Table6[[#This Row],[Work Start TimeStamp]]-Table6[[#This Row],[Fault Start TimeStamp]])*24)</f>
        <v>2.6833333333333331</v>
      </c>
      <c r="S524" s="367">
        <f>(Table6[[#This Row],[Fault Clearance time]]-Table6[[#This Row],[Work Start TimeStamp]])*24</f>
        <v>1.7499999999999991</v>
      </c>
      <c r="T524" s="368">
        <f>(Table6[[#This Row],[Fault Clearance time]]-Table6[[#This Row],[Fault Start TimeStamp]])*24</f>
        <v>4.4333333333333318</v>
      </c>
      <c r="U524" s="364" t="s">
        <v>595</v>
      </c>
      <c r="V524" s="369" t="s">
        <v>463</v>
      </c>
      <c r="W524" s="354">
        <f>Table6[[#This Row],[Breakdown Time]]*(1/39)</f>
        <v>0.11367521367521363</v>
      </c>
      <c r="X524" s="352" t="s">
        <v>465</v>
      </c>
      <c r="Y524" s="370" t="s">
        <v>121</v>
      </c>
      <c r="Z524" s="121">
        <v>3109</v>
      </c>
      <c r="AA524" s="123">
        <v>574.3013888888886</v>
      </c>
      <c r="AB524" s="121" t="s">
        <v>478</v>
      </c>
    </row>
    <row r="525" spans="1:28">
      <c r="A525" s="121">
        <f t="shared" si="8"/>
        <v>524</v>
      </c>
      <c r="B525" s="123">
        <f>YEAR(Table6[[#This Row],[Date]])+IF(MONTH(Table6[[#This Row],[Date]])&gt;=4,1,0)</f>
        <v>2026</v>
      </c>
      <c r="C525" s="121">
        <f>YEAR(Table6[[#This Row],[Date]])</f>
        <v>2025</v>
      </c>
      <c r="D525" s="121" t="s">
        <v>490</v>
      </c>
      <c r="E525" s="135">
        <f>Table6[[#This Row],[Date]]-DAY(Table6[[#This Row],[Date]])+1</f>
        <v>45778</v>
      </c>
      <c r="F525" s="134">
        <v>45789</v>
      </c>
      <c r="G525" s="121" t="s">
        <v>117</v>
      </c>
      <c r="H525" s="39" t="str">
        <f>_xlfn.XLOOKUP(Table6[[#This Row],[Affected WTG]],'Basic Data'!$A:$A,'Basic Data'!$B:$B)</f>
        <v>PWEGPL</v>
      </c>
      <c r="I525" s="39" t="str">
        <f>_xlfn.XLOOKUP(Table6[[#This Row],[Affected WTG]],'Basic Data'!$A:$A,'Basic Data'!$C:$C)</f>
        <v>MSEDCL</v>
      </c>
      <c r="J525" s="363">
        <f>IFERROR(VLOOKUP(Table6[[#This Row],[Affected WTG]],'Basic Data'!$A$3:$E$56,5,0),"")</f>
        <v>2.564102564102564E-2</v>
      </c>
      <c r="K525" s="121" t="s">
        <v>492</v>
      </c>
      <c r="L525" s="39" t="str">
        <f>IFERROR(VLOOKUP(Table6[[#This Row],[Error Code]],'Basic Data'!$T:$U,2,0),"")</f>
        <v>Manual Stop - Safety Related</v>
      </c>
      <c r="M525" s="364" t="s">
        <v>481</v>
      </c>
      <c r="O525" s="365">
        <v>0.47222222222222221</v>
      </c>
      <c r="P525" s="365">
        <v>0.47222222222222221</v>
      </c>
      <c r="Q525" s="365">
        <v>0.56597222222222221</v>
      </c>
      <c r="R525" s="366">
        <f>IF(Table6[[#This Row],[Work Start TimeStamp]]="","",(Table6[[#This Row],[Work Start TimeStamp]]-Table6[[#This Row],[Fault Start TimeStamp]])*24)</f>
        <v>0</v>
      </c>
      <c r="S525" s="367">
        <f>(Table6[[#This Row],[Fault Clearance time]]-Table6[[#This Row],[Work Start TimeStamp]])*24</f>
        <v>2.25</v>
      </c>
      <c r="T525" s="368">
        <f>(Table6[[#This Row],[Fault Clearance time]]-Table6[[#This Row],[Fault Start TimeStamp]])*24</f>
        <v>2.25</v>
      </c>
      <c r="U525" s="364" t="s">
        <v>508</v>
      </c>
      <c r="V525" s="369" t="s">
        <v>463</v>
      </c>
      <c r="W525" s="354">
        <f>Table6[[#This Row],[Breakdown Time]]*(1/39)</f>
        <v>5.7692307692307689E-2</v>
      </c>
      <c r="X525" s="352" t="s">
        <v>468</v>
      </c>
      <c r="Y525" s="370" t="s">
        <v>120</v>
      </c>
      <c r="Z525" s="121">
        <v>3086</v>
      </c>
      <c r="AA525" s="123">
        <v>289.3125</v>
      </c>
      <c r="AB525" s="121" t="s">
        <v>478</v>
      </c>
    </row>
    <row r="526" spans="1:28">
      <c r="A526" s="121">
        <f t="shared" si="8"/>
        <v>525</v>
      </c>
      <c r="B526" s="123">
        <f>YEAR(Table6[[#This Row],[Date]])+IF(MONTH(Table6[[#This Row],[Date]])&gt;=4,1,0)</f>
        <v>2026</v>
      </c>
      <c r="C526" s="121">
        <f>YEAR(Table6[[#This Row],[Date]])</f>
        <v>2025</v>
      </c>
      <c r="D526" s="121" t="s">
        <v>490</v>
      </c>
      <c r="E526" s="135">
        <f>Table6[[#This Row],[Date]]-DAY(Table6[[#This Row],[Date]])+1</f>
        <v>45778</v>
      </c>
      <c r="F526" s="134">
        <v>45789</v>
      </c>
      <c r="G526" s="121" t="s">
        <v>137</v>
      </c>
      <c r="H526" s="39" t="str">
        <f>_xlfn.XLOOKUP(Table6[[#This Row],[Affected WTG]],'Basic Data'!$A:$A,'Basic Data'!$B:$B)</f>
        <v>PWEGPL</v>
      </c>
      <c r="I526" s="39" t="str">
        <f>_xlfn.XLOOKUP(Table6[[#This Row],[Affected WTG]],'Basic Data'!$A:$A,'Basic Data'!$C:$C)</f>
        <v>MSEDCL</v>
      </c>
      <c r="J526" s="363">
        <f>IFERROR(VLOOKUP(Table6[[#This Row],[Affected WTG]],'Basic Data'!$A$3:$E$56,5,0),"")</f>
        <v>2.564102564102564E-2</v>
      </c>
      <c r="K526" s="121">
        <v>2118</v>
      </c>
      <c r="L526" s="39" t="str">
        <f>IFERROR(VLOOKUP(Table6[[#This Row],[Error Code]],'Basic Data'!$T:$U,2,0),"")</f>
        <v>Bus Error - Interbus Failure</v>
      </c>
      <c r="M526" s="364" t="s">
        <v>462</v>
      </c>
      <c r="O526" s="365">
        <v>0.38541666666666669</v>
      </c>
      <c r="P526" s="365">
        <v>0.47291666666666665</v>
      </c>
      <c r="Q526" s="365">
        <v>0.72291666666666665</v>
      </c>
      <c r="R526" s="366">
        <f>IF(Table6[[#This Row],[Work Start TimeStamp]]="","",(Table6[[#This Row],[Work Start TimeStamp]]-Table6[[#This Row],[Fault Start TimeStamp]])*24)</f>
        <v>2.0999999999999992</v>
      </c>
      <c r="S526" s="367">
        <f>(Table6[[#This Row],[Fault Clearance time]]-Table6[[#This Row],[Work Start TimeStamp]])*24</f>
        <v>6</v>
      </c>
      <c r="T526" s="368">
        <f>(Table6[[#This Row],[Fault Clearance time]]-Table6[[#This Row],[Fault Start TimeStamp]])*24</f>
        <v>8.1</v>
      </c>
      <c r="U526" s="364" t="s">
        <v>596</v>
      </c>
      <c r="V526" s="369" t="s">
        <v>463</v>
      </c>
      <c r="W526" s="354">
        <f>Table6[[#This Row],[Breakdown Time]]*(1/39)</f>
        <v>0.20769230769230768</v>
      </c>
      <c r="X526" s="352" t="s">
        <v>468</v>
      </c>
      <c r="Y526" s="370" t="s">
        <v>119</v>
      </c>
      <c r="Z526" s="121">
        <v>4032</v>
      </c>
      <c r="AA526" s="123">
        <v>1360.8</v>
      </c>
      <c r="AB526" s="121" t="s">
        <v>478</v>
      </c>
    </row>
    <row r="527" spans="1:28">
      <c r="A527" s="121">
        <f t="shared" si="8"/>
        <v>526</v>
      </c>
      <c r="B527" s="123">
        <f>YEAR(Table6[[#This Row],[Date]])+IF(MONTH(Table6[[#This Row],[Date]])&gt;=4,1,0)</f>
        <v>2026</v>
      </c>
      <c r="C527" s="121">
        <f>YEAR(Table6[[#This Row],[Date]])</f>
        <v>2025</v>
      </c>
      <c r="D527" s="121" t="s">
        <v>490</v>
      </c>
      <c r="E527" s="135">
        <f>Table6[[#This Row],[Date]]-DAY(Table6[[#This Row],[Date]])+1</f>
        <v>45778</v>
      </c>
      <c r="F527" s="134">
        <v>45789</v>
      </c>
      <c r="G527" s="121" t="s">
        <v>136</v>
      </c>
      <c r="H527" s="39" t="str">
        <f>_xlfn.XLOOKUP(Table6[[#This Row],[Affected WTG]],'Basic Data'!$A:$A,'Basic Data'!$B:$B)</f>
        <v>PWEGPL</v>
      </c>
      <c r="I527" s="39" t="str">
        <f>_xlfn.XLOOKUP(Table6[[#This Row],[Affected WTG]],'Basic Data'!$A:$A,'Basic Data'!$C:$C)</f>
        <v>MSEDCL</v>
      </c>
      <c r="J527" s="363">
        <f>IFERROR(VLOOKUP(Table6[[#This Row],[Affected WTG]],'Basic Data'!$A$3:$E$56,5,0),"")</f>
        <v>2.564102564102564E-2</v>
      </c>
      <c r="K527" s="121" t="s">
        <v>466</v>
      </c>
      <c r="L527" s="39" t="str">
        <f>IFERROR(VLOOKUP(Table6[[#This Row],[Error Code]],'Basic Data'!$T:$U,2,0),"")</f>
        <v>Manual Stop</v>
      </c>
      <c r="M527" s="364" t="s">
        <v>507</v>
      </c>
      <c r="O527" s="365">
        <v>0.48055555555555557</v>
      </c>
      <c r="P527" s="365">
        <v>0.48055555555555557</v>
      </c>
      <c r="Q527" s="365">
        <v>0.56597222222222221</v>
      </c>
      <c r="R527" s="366">
        <f>IF(Table6[[#This Row],[Work Start TimeStamp]]="","",(Table6[[#This Row],[Work Start TimeStamp]]-Table6[[#This Row],[Fault Start TimeStamp]])*24)</f>
        <v>0</v>
      </c>
      <c r="S527" s="367">
        <f>(Table6[[#This Row],[Fault Clearance time]]-Table6[[#This Row],[Work Start TimeStamp]])*24</f>
        <v>2.0499999999999994</v>
      </c>
      <c r="T527" s="368">
        <f>(Table6[[#This Row],[Fault Clearance time]]-Table6[[#This Row],[Fault Start TimeStamp]])*24</f>
        <v>2.0499999999999994</v>
      </c>
      <c r="U527" s="364" t="s">
        <v>1223</v>
      </c>
      <c r="V527" s="369" t="s">
        <v>463</v>
      </c>
      <c r="W527" s="354">
        <f>Table6[[#This Row],[Breakdown Time]]*(1/39)</f>
        <v>5.2564102564102544E-2</v>
      </c>
      <c r="X527" s="352" t="s">
        <v>464</v>
      </c>
      <c r="Y527" s="370" t="s">
        <v>119</v>
      </c>
      <c r="Z527" s="121">
        <v>4032</v>
      </c>
      <c r="AA527" s="123">
        <v>344.39999999999992</v>
      </c>
      <c r="AB527" s="121" t="s">
        <v>478</v>
      </c>
    </row>
    <row r="528" spans="1:28">
      <c r="A528" s="121">
        <f t="shared" si="8"/>
        <v>527</v>
      </c>
      <c r="B528" s="123">
        <f>YEAR(Table6[[#This Row],[Date]])+IF(MONTH(Table6[[#This Row],[Date]])&gt;=4,1,0)</f>
        <v>2026</v>
      </c>
      <c r="C528" s="121">
        <f>YEAR(Table6[[#This Row],[Date]])</f>
        <v>2025</v>
      </c>
      <c r="D528" s="121" t="s">
        <v>490</v>
      </c>
      <c r="E528" s="135">
        <f>Table6[[#This Row],[Date]]-DAY(Table6[[#This Row],[Date]])+1</f>
        <v>45778</v>
      </c>
      <c r="F528" s="134">
        <v>45789</v>
      </c>
      <c r="G528" s="121" t="s">
        <v>135</v>
      </c>
      <c r="H528" s="39" t="str">
        <f>_xlfn.XLOOKUP(Table6[[#This Row],[Affected WTG]],'Basic Data'!$A:$A,'Basic Data'!$B:$B)</f>
        <v>PWEGPL</v>
      </c>
      <c r="I528" s="39" t="str">
        <f>_xlfn.XLOOKUP(Table6[[#This Row],[Affected WTG]],'Basic Data'!$A:$A,'Basic Data'!$C:$C)</f>
        <v>MSEDCL</v>
      </c>
      <c r="J528" s="363">
        <f>IFERROR(VLOOKUP(Table6[[#This Row],[Affected WTG]],'Basic Data'!$A$3:$E$56,5,0),"")</f>
        <v>2.564102564102564E-2</v>
      </c>
      <c r="K528" s="121">
        <v>5228</v>
      </c>
      <c r="L528" s="39" t="str">
        <f>IFERROR(VLOOKUP(Table6[[#This Row],[Error Code]],'Basic Data'!$T:$U,2,0),"")</f>
        <v>Preload Failure</v>
      </c>
      <c r="M528" s="364" t="s">
        <v>462</v>
      </c>
      <c r="O528" s="365">
        <v>0</v>
      </c>
      <c r="P528" s="365">
        <v>0</v>
      </c>
      <c r="Q528" s="365">
        <v>0.85833333333333328</v>
      </c>
      <c r="R528" s="366">
        <f>IF(Table6[[#This Row],[Work Start TimeStamp]]="","",(Table6[[#This Row],[Work Start TimeStamp]]-Table6[[#This Row],[Fault Start TimeStamp]])*24)</f>
        <v>0</v>
      </c>
      <c r="S528" s="367">
        <f>(Table6[[#This Row],[Fault Clearance time]]-Table6[[#This Row],[Work Start TimeStamp]])*24</f>
        <v>20.599999999999998</v>
      </c>
      <c r="T528" s="368">
        <f>(Table6[[#This Row],[Fault Clearance time]]-Table6[[#This Row],[Fault Start TimeStamp]])*24</f>
        <v>20.599999999999998</v>
      </c>
      <c r="U528" s="364" t="s">
        <v>597</v>
      </c>
      <c r="V528" s="369" t="s">
        <v>463</v>
      </c>
      <c r="W528" s="354">
        <f>Table6[[#This Row],[Breakdown Time]]*(1/39)</f>
        <v>0.5282051282051281</v>
      </c>
      <c r="X528" s="352" t="s">
        <v>465</v>
      </c>
      <c r="Y528" s="370" t="s">
        <v>119</v>
      </c>
      <c r="Z528" s="121">
        <v>4032</v>
      </c>
      <c r="AA528" s="123">
        <v>3460.7999999999997</v>
      </c>
      <c r="AB528" s="121" t="s">
        <v>478</v>
      </c>
    </row>
    <row r="529" spans="1:28">
      <c r="A529" s="121">
        <f t="shared" si="8"/>
        <v>528</v>
      </c>
      <c r="B529" s="123">
        <f>YEAR(Table6[[#This Row],[Date]])+IF(MONTH(Table6[[#This Row],[Date]])&gt;=4,1,0)</f>
        <v>2026</v>
      </c>
      <c r="C529" s="121">
        <f>YEAR(Table6[[#This Row],[Date]])</f>
        <v>2025</v>
      </c>
      <c r="D529" s="121" t="s">
        <v>490</v>
      </c>
      <c r="E529" s="135">
        <f>Table6[[#This Row],[Date]]-DAY(Table6[[#This Row],[Date]])+1</f>
        <v>45778</v>
      </c>
      <c r="F529" s="134">
        <v>45790</v>
      </c>
      <c r="G529" s="121" t="s">
        <v>144</v>
      </c>
      <c r="H529" s="39" t="str">
        <f>_xlfn.XLOOKUP(Table6[[#This Row],[Affected WTG]],'Basic Data'!$A:$A,'Basic Data'!$B:$B)</f>
        <v>PWEGPL</v>
      </c>
      <c r="I529" s="39" t="str">
        <f>_xlfn.XLOOKUP(Table6[[#This Row],[Affected WTG]],'Basic Data'!$A:$A,'Basic Data'!$C:$C)</f>
        <v>MSEDCL</v>
      </c>
      <c r="J529" s="363">
        <f>IFERROR(VLOOKUP(Table6[[#This Row],[Affected WTG]],'Basic Data'!$A$3:$E$56,5,0),"")</f>
        <v>2.564102564102564E-2</v>
      </c>
      <c r="K529" s="121" t="s">
        <v>492</v>
      </c>
      <c r="L529" s="39" t="str">
        <f>IFERROR(VLOOKUP(Table6[[#This Row],[Error Code]],'Basic Data'!$T:$U,2,0),"")</f>
        <v>Manual Stop - Safety Related</v>
      </c>
      <c r="M529" s="364" t="s">
        <v>481</v>
      </c>
      <c r="O529" s="365">
        <v>0</v>
      </c>
      <c r="P529" s="365">
        <v>0.99930555555555556</v>
      </c>
      <c r="Q529" s="365">
        <v>0.99930555555555556</v>
      </c>
      <c r="R529" s="366">
        <f>IF(Table6[[#This Row],[Work Start TimeStamp]]="","",(Table6[[#This Row],[Work Start TimeStamp]]-Table6[[#This Row],[Fault Start TimeStamp]])*24)</f>
        <v>23.983333333333334</v>
      </c>
      <c r="S529" s="367">
        <f>(Table6[[#This Row],[Fault Clearance time]]-Table6[[#This Row],[Work Start TimeStamp]])*24</f>
        <v>0</v>
      </c>
      <c r="T529" s="368">
        <f>(Table6[[#This Row],[Fault Clearance time]]-Table6[[#This Row],[Fault Start TimeStamp]])*24</f>
        <v>23.983333333333334</v>
      </c>
      <c r="U529" s="364" t="s">
        <v>498</v>
      </c>
      <c r="V529" s="369" t="s">
        <v>473</v>
      </c>
      <c r="W529" s="354">
        <f>Table6[[#This Row],[Breakdown Time]]*(1/39)</f>
        <v>0.61495726495726499</v>
      </c>
      <c r="X529" s="352" t="s">
        <v>468</v>
      </c>
      <c r="Y529" s="370" t="s">
        <v>143</v>
      </c>
      <c r="Z529" s="121">
        <v>4579</v>
      </c>
      <c r="AA529" s="123">
        <v>4575.8201388888892</v>
      </c>
      <c r="AB529" s="121" t="s">
        <v>478</v>
      </c>
    </row>
    <row r="530" spans="1:28">
      <c r="A530" s="121">
        <f t="shared" si="8"/>
        <v>529</v>
      </c>
      <c r="B530" s="123">
        <f>YEAR(Table6[[#This Row],[Date]])+IF(MONTH(Table6[[#This Row],[Date]])&gt;=4,1,0)</f>
        <v>2026</v>
      </c>
      <c r="C530" s="121">
        <f>YEAR(Table6[[#This Row],[Date]])</f>
        <v>2025</v>
      </c>
      <c r="D530" s="121" t="s">
        <v>490</v>
      </c>
      <c r="E530" s="135">
        <f>Table6[[#This Row],[Date]]-DAY(Table6[[#This Row],[Date]])+1</f>
        <v>45778</v>
      </c>
      <c r="F530" s="134">
        <v>45790</v>
      </c>
      <c r="G530" s="121" t="s">
        <v>142</v>
      </c>
      <c r="H530" s="39" t="str">
        <f>_xlfn.XLOOKUP(Table6[[#This Row],[Affected WTG]],'Basic Data'!$A:$A,'Basic Data'!$B:$B)</f>
        <v>PWEGPL</v>
      </c>
      <c r="I530" s="39" t="str">
        <f>_xlfn.XLOOKUP(Table6[[#This Row],[Affected WTG]],'Basic Data'!$A:$A,'Basic Data'!$C:$C)</f>
        <v>MSEDCL</v>
      </c>
      <c r="J530" s="363">
        <f>IFERROR(VLOOKUP(Table6[[#This Row],[Affected WTG]],'Basic Data'!$A$3:$E$56,5,0),"")</f>
        <v>2.564102564102564E-2</v>
      </c>
      <c r="K530" s="121" t="s">
        <v>492</v>
      </c>
      <c r="L530" s="39" t="str">
        <f>IFERROR(VLOOKUP(Table6[[#This Row],[Error Code]],'Basic Data'!$T:$U,2,0),"")</f>
        <v>Manual Stop - Safety Related</v>
      </c>
      <c r="M530" s="364" t="s">
        <v>481</v>
      </c>
      <c r="O530" s="365">
        <v>0</v>
      </c>
      <c r="P530" s="365">
        <v>0.99930555555555556</v>
      </c>
      <c r="Q530" s="365">
        <v>0.99930555555555556</v>
      </c>
      <c r="R530" s="366">
        <f>IF(Table6[[#This Row],[Work Start TimeStamp]]="","",(Table6[[#This Row],[Work Start TimeStamp]]-Table6[[#This Row],[Fault Start TimeStamp]])*24)</f>
        <v>23.983333333333334</v>
      </c>
      <c r="S530" s="367">
        <f>(Table6[[#This Row],[Fault Clearance time]]-Table6[[#This Row],[Work Start TimeStamp]])*24</f>
        <v>0</v>
      </c>
      <c r="T530" s="368">
        <f>(Table6[[#This Row],[Fault Clearance time]]-Table6[[#This Row],[Fault Start TimeStamp]])*24</f>
        <v>23.983333333333334</v>
      </c>
      <c r="U530" s="364" t="s">
        <v>498</v>
      </c>
      <c r="V530" s="369" t="s">
        <v>473</v>
      </c>
      <c r="W530" s="354">
        <f>Table6[[#This Row],[Breakdown Time]]*(1/39)</f>
        <v>0.61495726495726499</v>
      </c>
      <c r="X530" s="352" t="s">
        <v>468</v>
      </c>
      <c r="Y530" s="370" t="s">
        <v>143</v>
      </c>
      <c r="Z530" s="121">
        <v>4579</v>
      </c>
      <c r="AA530" s="123">
        <v>4575.8201388888892</v>
      </c>
      <c r="AB530" s="121" t="s">
        <v>478</v>
      </c>
    </row>
    <row r="531" spans="1:28">
      <c r="A531" s="121">
        <f t="shared" si="8"/>
        <v>530</v>
      </c>
      <c r="B531" s="123">
        <f>YEAR(Table6[[#This Row],[Date]])+IF(MONTH(Table6[[#This Row],[Date]])&gt;=4,1,0)</f>
        <v>2026</v>
      </c>
      <c r="C531" s="121">
        <f>YEAR(Table6[[#This Row],[Date]])</f>
        <v>2025</v>
      </c>
      <c r="D531" s="121" t="s">
        <v>490</v>
      </c>
      <c r="E531" s="135">
        <f>Table6[[#This Row],[Date]]-DAY(Table6[[#This Row],[Date]])+1</f>
        <v>45778</v>
      </c>
      <c r="F531" s="134">
        <v>45790</v>
      </c>
      <c r="G531" s="121" t="s">
        <v>118</v>
      </c>
      <c r="H531" s="39" t="str">
        <f>_xlfn.XLOOKUP(Table6[[#This Row],[Affected WTG]],'Basic Data'!$A:$A,'Basic Data'!$B:$B)</f>
        <v>PWEGPL</v>
      </c>
      <c r="I531" s="39" t="str">
        <f>_xlfn.XLOOKUP(Table6[[#This Row],[Affected WTG]],'Basic Data'!$A:$A,'Basic Data'!$C:$C)</f>
        <v>MSEDCL</v>
      </c>
      <c r="J531" s="363">
        <f>IFERROR(VLOOKUP(Table6[[#This Row],[Affected WTG]],'Basic Data'!$A$3:$E$56,5,0),"")</f>
        <v>2.564102564102564E-2</v>
      </c>
      <c r="K531" s="121">
        <v>205</v>
      </c>
      <c r="L531" s="39" t="str">
        <f>IFERROR(VLOOKUP(Table6[[#This Row],[Error Code]],'Basic Data'!$T:$U,2,0),"")</f>
        <v>Low Level Hydraulic Group Refrigeration Oil</v>
      </c>
      <c r="M531" s="364" t="s">
        <v>462</v>
      </c>
      <c r="O531" s="365">
        <v>0.50277777777777777</v>
      </c>
      <c r="P531" s="365">
        <v>0.52638888888888891</v>
      </c>
      <c r="Q531" s="365">
        <v>0.6381944444444444</v>
      </c>
      <c r="R531" s="366">
        <f>IF(Table6[[#This Row],[Work Start TimeStamp]]="","",(Table6[[#This Row],[Work Start TimeStamp]]-Table6[[#This Row],[Fault Start TimeStamp]])*24)</f>
        <v>0.56666666666666732</v>
      </c>
      <c r="S531" s="367">
        <f>(Table6[[#This Row],[Fault Clearance time]]-Table6[[#This Row],[Work Start TimeStamp]])*24</f>
        <v>2.6833333333333318</v>
      </c>
      <c r="T531" s="368">
        <f>(Table6[[#This Row],[Fault Clearance time]]-Table6[[#This Row],[Fault Start TimeStamp]])*24</f>
        <v>3.2499999999999991</v>
      </c>
      <c r="U531" s="364" t="s">
        <v>1005</v>
      </c>
      <c r="V531" s="369" t="s">
        <v>463</v>
      </c>
      <c r="W531" s="354">
        <f>Table6[[#This Row],[Breakdown Time]]*(1/39)</f>
        <v>8.3333333333333301E-2</v>
      </c>
      <c r="X531" s="352" t="s">
        <v>465</v>
      </c>
      <c r="Y531" s="370" t="s">
        <v>116</v>
      </c>
      <c r="Z531" s="121">
        <v>6734</v>
      </c>
      <c r="AA531" s="123">
        <v>911.89583333333303</v>
      </c>
      <c r="AB531" s="121" t="s">
        <v>478</v>
      </c>
    </row>
    <row r="532" spans="1:28">
      <c r="A532" s="121">
        <f t="shared" si="8"/>
        <v>531</v>
      </c>
      <c r="B532" s="123">
        <f>YEAR(Table6[[#This Row],[Date]])+IF(MONTH(Table6[[#This Row],[Date]])&gt;=4,1,0)</f>
        <v>2026</v>
      </c>
      <c r="C532" s="121">
        <f>YEAR(Table6[[#This Row],[Date]])</f>
        <v>2025</v>
      </c>
      <c r="D532" s="121" t="s">
        <v>490</v>
      </c>
      <c r="E532" s="135">
        <f>Table6[[#This Row],[Date]]-DAY(Table6[[#This Row],[Date]])+1</f>
        <v>45778</v>
      </c>
      <c r="F532" s="134">
        <v>45790</v>
      </c>
      <c r="G532" s="121" t="s">
        <v>121</v>
      </c>
      <c r="H532" s="39" t="str">
        <f>_xlfn.XLOOKUP(Table6[[#This Row],[Affected WTG]],'Basic Data'!$A:$A,'Basic Data'!$B:$B)</f>
        <v>PWEGPL</v>
      </c>
      <c r="I532" s="39" t="str">
        <f>_xlfn.XLOOKUP(Table6[[#This Row],[Affected WTG]],'Basic Data'!$A:$A,'Basic Data'!$C:$C)</f>
        <v>MSEDCL</v>
      </c>
      <c r="J532" s="363">
        <f>IFERROR(VLOOKUP(Table6[[#This Row],[Affected WTG]],'Basic Data'!$A$3:$E$56,5,0),"")</f>
        <v>2.564102564102564E-2</v>
      </c>
      <c r="K532" s="121">
        <v>5236</v>
      </c>
      <c r="L532" s="39" t="str">
        <f>IFERROR(VLOOKUP(Table6[[#This Row],[Error Code]],'Basic Data'!$T:$U,2,0),"")</f>
        <v>Error In Phase R Of The Inverter</v>
      </c>
      <c r="M532" s="364" t="s">
        <v>462</v>
      </c>
      <c r="O532" s="365">
        <v>0.84305555555555556</v>
      </c>
      <c r="P532" s="365">
        <v>0.86319444444444449</v>
      </c>
      <c r="Q532" s="365">
        <v>0.89722222222222225</v>
      </c>
      <c r="R532" s="366">
        <f>IF(Table6[[#This Row],[Work Start TimeStamp]]="","",(Table6[[#This Row],[Work Start TimeStamp]]-Table6[[#This Row],[Fault Start TimeStamp]])*24)</f>
        <v>0.48333333333333428</v>
      </c>
      <c r="S532" s="367">
        <f>(Table6[[#This Row],[Fault Clearance time]]-Table6[[#This Row],[Work Start TimeStamp]])*24</f>
        <v>0.81666666666666643</v>
      </c>
      <c r="T532" s="368">
        <f>(Table6[[#This Row],[Fault Clearance time]]-Table6[[#This Row],[Fault Start TimeStamp]])*24</f>
        <v>1.3000000000000007</v>
      </c>
      <c r="U532" s="364" t="s">
        <v>598</v>
      </c>
      <c r="V532" s="369" t="s">
        <v>463</v>
      </c>
      <c r="W532" s="354">
        <f>Table6[[#This Row],[Breakdown Time]]*(1/39)</f>
        <v>3.3333333333333354E-2</v>
      </c>
      <c r="X532" s="352" t="s">
        <v>465</v>
      </c>
      <c r="Y532" s="370" t="s">
        <v>115</v>
      </c>
      <c r="Z532" s="121">
        <v>6782</v>
      </c>
      <c r="AA532" s="123">
        <v>367.35833333333352</v>
      </c>
      <c r="AB532" s="121" t="s">
        <v>478</v>
      </c>
    </row>
    <row r="533" spans="1:28">
      <c r="A533" s="121">
        <f t="shared" si="8"/>
        <v>532</v>
      </c>
      <c r="B533" s="123">
        <f>YEAR(Table6[[#This Row],[Date]])+IF(MONTH(Table6[[#This Row],[Date]])&gt;=4,1,0)</f>
        <v>2026</v>
      </c>
      <c r="C533" s="121">
        <f>YEAR(Table6[[#This Row],[Date]])</f>
        <v>2025</v>
      </c>
      <c r="D533" s="121" t="s">
        <v>490</v>
      </c>
      <c r="E533" s="135">
        <f>Table6[[#This Row],[Date]]-DAY(Table6[[#This Row],[Date]])+1</f>
        <v>45778</v>
      </c>
      <c r="F533" s="134">
        <v>45790</v>
      </c>
      <c r="G533" s="121" t="s">
        <v>128</v>
      </c>
      <c r="H533" s="39" t="str">
        <f>_xlfn.XLOOKUP(Table6[[#This Row],[Affected WTG]],'Basic Data'!$A:$A,'Basic Data'!$B:$B)</f>
        <v>PWEGPL</v>
      </c>
      <c r="I533" s="39" t="str">
        <f>_xlfn.XLOOKUP(Table6[[#This Row],[Affected WTG]],'Basic Data'!$A:$A,'Basic Data'!$C:$C)</f>
        <v>MSEDCL</v>
      </c>
      <c r="J533" s="363">
        <f>IFERROR(VLOOKUP(Table6[[#This Row],[Affected WTG]],'Basic Data'!$A$3:$E$56,5,0),"")</f>
        <v>2.564102564102564E-2</v>
      </c>
      <c r="K533" s="121" t="s">
        <v>492</v>
      </c>
      <c r="L533" s="39" t="str">
        <f>IFERROR(VLOOKUP(Table6[[#This Row],[Error Code]],'Basic Data'!$T:$U,2,0),"")</f>
        <v>Manual Stop - Safety Related</v>
      </c>
      <c r="M533" s="364" t="s">
        <v>481</v>
      </c>
      <c r="O533" s="365">
        <v>0.72916666666666663</v>
      </c>
      <c r="P533" s="365">
        <v>0.72916666666666663</v>
      </c>
      <c r="Q533" s="365">
        <v>0.90833333333333333</v>
      </c>
      <c r="R533" s="366">
        <f>IF(Table6[[#This Row],[Work Start TimeStamp]]="","",(Table6[[#This Row],[Work Start TimeStamp]]-Table6[[#This Row],[Fault Start TimeStamp]])*24)</f>
        <v>0</v>
      </c>
      <c r="S533" s="367">
        <f>(Table6[[#This Row],[Fault Clearance time]]-Table6[[#This Row],[Work Start TimeStamp]])*24</f>
        <v>4.3000000000000007</v>
      </c>
      <c r="T533" s="368">
        <f>(Table6[[#This Row],[Fault Clearance time]]-Table6[[#This Row],[Fault Start TimeStamp]])*24</f>
        <v>4.3000000000000007</v>
      </c>
      <c r="U533" s="364" t="s">
        <v>508</v>
      </c>
      <c r="V533" s="369" t="s">
        <v>463</v>
      </c>
      <c r="W533" s="354">
        <f>Table6[[#This Row],[Breakdown Time]]*(1/39)</f>
        <v>0.11025641025641027</v>
      </c>
      <c r="X533" s="352" t="s">
        <v>468</v>
      </c>
      <c r="Y533" s="370" t="s">
        <v>129</v>
      </c>
      <c r="Z533" s="121">
        <v>7344</v>
      </c>
      <c r="AA533" s="123">
        <v>1315.8000000000002</v>
      </c>
      <c r="AB533" s="121" t="s">
        <v>478</v>
      </c>
    </row>
    <row r="534" spans="1:28">
      <c r="A534" s="121">
        <f t="shared" si="8"/>
        <v>533</v>
      </c>
      <c r="B534" s="123">
        <f>YEAR(Table6[[#This Row],[Date]])+IF(MONTH(Table6[[#This Row],[Date]])&gt;=4,1,0)</f>
        <v>2026</v>
      </c>
      <c r="C534" s="121">
        <f>YEAR(Table6[[#This Row],[Date]])</f>
        <v>2025</v>
      </c>
      <c r="D534" s="121" t="s">
        <v>490</v>
      </c>
      <c r="E534" s="135">
        <f>Table6[[#This Row],[Date]]-DAY(Table6[[#This Row],[Date]])+1</f>
        <v>45778</v>
      </c>
      <c r="F534" s="134">
        <v>45790</v>
      </c>
      <c r="G534" s="121" t="s">
        <v>153</v>
      </c>
      <c r="H534" s="39" t="str">
        <f>_xlfn.XLOOKUP(Table6[[#This Row],[Affected WTG]],'Basic Data'!$A:$A,'Basic Data'!$B:$B)</f>
        <v>PWEGPL</v>
      </c>
      <c r="I534" s="39" t="str">
        <f>_xlfn.XLOOKUP(Table6[[#This Row],[Affected WTG]],'Basic Data'!$A:$A,'Basic Data'!$C:$C)</f>
        <v>MSEDCL</v>
      </c>
      <c r="J534" s="363">
        <f>IFERROR(VLOOKUP(Table6[[#This Row],[Affected WTG]],'Basic Data'!$A$3:$E$56,5,0),"")</f>
        <v>2.564102564102564E-2</v>
      </c>
      <c r="K534" s="121">
        <v>5216</v>
      </c>
      <c r="L534" s="39" t="str">
        <f>IFERROR(VLOOKUP(Table6[[#This Row],[Error Code]],'Basic Data'!$T:$U,2,0),"")</f>
        <v>Grid Voltage Failure</v>
      </c>
      <c r="M534" s="364" t="s">
        <v>462</v>
      </c>
      <c r="O534" s="365">
        <v>0.23958333333333334</v>
      </c>
      <c r="P534" s="365">
        <v>0.53125</v>
      </c>
      <c r="Q534" s="365">
        <v>0.99930555555555556</v>
      </c>
      <c r="R534" s="366">
        <f>IF(Table6[[#This Row],[Work Start TimeStamp]]="","",(Table6[[#This Row],[Work Start TimeStamp]]-Table6[[#This Row],[Fault Start TimeStamp]])*24)</f>
        <v>6.9999999999999991</v>
      </c>
      <c r="S534" s="367">
        <f>(Table6[[#This Row],[Fault Clearance time]]-Table6[[#This Row],[Work Start TimeStamp]])*24</f>
        <v>11.233333333333334</v>
      </c>
      <c r="T534" s="368">
        <f>(Table6[[#This Row],[Fault Clearance time]]-Table6[[#This Row],[Fault Start TimeStamp]])*24</f>
        <v>18.233333333333334</v>
      </c>
      <c r="U534" s="364" t="s">
        <v>1224</v>
      </c>
      <c r="V534" s="369" t="s">
        <v>473</v>
      </c>
      <c r="W534" s="354">
        <f>Table6[[#This Row],[Breakdown Time]]*(1/39)</f>
        <v>0.46752136752136753</v>
      </c>
      <c r="X534" s="352" t="s">
        <v>465</v>
      </c>
      <c r="Y534" s="370" t="s">
        <v>152</v>
      </c>
      <c r="Z534" s="121">
        <v>4008</v>
      </c>
      <c r="AA534" s="123">
        <v>3044.9666666666667</v>
      </c>
      <c r="AB534" s="121" t="s">
        <v>599</v>
      </c>
    </row>
    <row r="535" spans="1:28">
      <c r="A535" s="121">
        <f t="shared" si="8"/>
        <v>534</v>
      </c>
      <c r="B535" s="123">
        <f>YEAR(Table6[[#This Row],[Date]])+IF(MONTH(Table6[[#This Row],[Date]])&gt;=4,1,0)</f>
        <v>2026</v>
      </c>
      <c r="C535" s="121">
        <f>YEAR(Table6[[#This Row],[Date]])</f>
        <v>2025</v>
      </c>
      <c r="D535" s="121" t="s">
        <v>490</v>
      </c>
      <c r="E535" s="135">
        <f>Table6[[#This Row],[Date]]-DAY(Table6[[#This Row],[Date]])+1</f>
        <v>45778</v>
      </c>
      <c r="F535" s="134">
        <v>45790</v>
      </c>
      <c r="G535" s="121" t="s">
        <v>141</v>
      </c>
      <c r="H535" s="39" t="str">
        <f>_xlfn.XLOOKUP(Table6[[#This Row],[Affected WTG]],'Basic Data'!$A:$A,'Basic Data'!$B:$B)</f>
        <v>PWEGPL</v>
      </c>
      <c r="I535" s="39" t="str">
        <f>_xlfn.XLOOKUP(Table6[[#This Row],[Affected WTG]],'Basic Data'!$A:$A,'Basic Data'!$C:$C)</f>
        <v>MSEDCL</v>
      </c>
      <c r="J535" s="363">
        <f>IFERROR(VLOOKUP(Table6[[#This Row],[Affected WTG]],'Basic Data'!$A$3:$E$56,5,0),"")</f>
        <v>2.564102564102564E-2</v>
      </c>
      <c r="K535" s="121">
        <v>2114</v>
      </c>
      <c r="L535" s="39" t="str">
        <f>IFERROR(VLOOKUP(Table6[[#This Row],[Error Code]],'Basic Data'!$T:$U,2,0),"")</f>
        <v>Analogue Card Failure</v>
      </c>
      <c r="M535" s="364" t="s">
        <v>462</v>
      </c>
      <c r="O535" s="365">
        <v>0.51180555555555551</v>
      </c>
      <c r="P535" s="365">
        <v>0.52638888888888891</v>
      </c>
      <c r="Q535" s="365">
        <v>0.54236111111111107</v>
      </c>
      <c r="R535" s="366">
        <f>IF(Table6[[#This Row],[Work Start TimeStamp]]="","",(Table6[[#This Row],[Work Start TimeStamp]]-Table6[[#This Row],[Fault Start TimeStamp]])*24)</f>
        <v>0.35000000000000142</v>
      </c>
      <c r="S535" s="367">
        <f>(Table6[[#This Row],[Fault Clearance time]]-Table6[[#This Row],[Work Start TimeStamp]])*24</f>
        <v>0.38333333333333197</v>
      </c>
      <c r="T535" s="368">
        <f>(Table6[[#This Row],[Fault Clearance time]]-Table6[[#This Row],[Fault Start TimeStamp]])*24</f>
        <v>0.73333333333333339</v>
      </c>
      <c r="U535" s="364" t="s">
        <v>493</v>
      </c>
      <c r="V535" s="369" t="s">
        <v>463</v>
      </c>
      <c r="W535" s="354">
        <f>Table6[[#This Row],[Breakdown Time]]*(1/39)</f>
        <v>1.8803418803418806E-2</v>
      </c>
      <c r="X535" s="352" t="s">
        <v>465</v>
      </c>
      <c r="Y535" s="370" t="s">
        <v>143</v>
      </c>
      <c r="Z535" s="121">
        <v>4579</v>
      </c>
      <c r="AA535" s="123">
        <v>139.91388888888889</v>
      </c>
      <c r="AB535" s="121" t="s">
        <v>478</v>
      </c>
    </row>
    <row r="536" spans="1:28">
      <c r="A536" s="121">
        <f t="shared" si="8"/>
        <v>535</v>
      </c>
      <c r="B536" s="123">
        <f>YEAR(Table6[[#This Row],[Date]])+IF(MONTH(Table6[[#This Row],[Date]])&gt;=4,1,0)</f>
        <v>2026</v>
      </c>
      <c r="C536" s="121">
        <f>YEAR(Table6[[#This Row],[Date]])</f>
        <v>2025</v>
      </c>
      <c r="D536" s="121" t="s">
        <v>490</v>
      </c>
      <c r="E536" s="135">
        <f>Table6[[#This Row],[Date]]-DAY(Table6[[#This Row],[Date]])+1</f>
        <v>45778</v>
      </c>
      <c r="F536" s="134">
        <v>45790</v>
      </c>
      <c r="G536" s="121" t="s">
        <v>135</v>
      </c>
      <c r="H536" s="39" t="str">
        <f>_xlfn.XLOOKUP(Table6[[#This Row],[Affected WTG]],'Basic Data'!$A:$A,'Basic Data'!$B:$B)</f>
        <v>PWEGPL</v>
      </c>
      <c r="I536" s="39" t="str">
        <f>_xlfn.XLOOKUP(Table6[[#This Row],[Affected WTG]],'Basic Data'!$A:$A,'Basic Data'!$C:$C)</f>
        <v>MSEDCL</v>
      </c>
      <c r="J536" s="363">
        <f>IFERROR(VLOOKUP(Table6[[#This Row],[Affected WTG]],'Basic Data'!$A$3:$E$56,5,0),"")</f>
        <v>2.564102564102564E-2</v>
      </c>
      <c r="K536" s="121">
        <v>5228</v>
      </c>
      <c r="L536" s="39" t="str">
        <f>IFERROR(VLOOKUP(Table6[[#This Row],[Error Code]],'Basic Data'!$T:$U,2,0),"")</f>
        <v>Preload Failure</v>
      </c>
      <c r="M536" s="364" t="s">
        <v>462</v>
      </c>
      <c r="O536" s="365">
        <v>0.25972222222222224</v>
      </c>
      <c r="P536" s="365">
        <v>0.42499999999999999</v>
      </c>
      <c r="Q536" s="365">
        <v>0.42916666666666664</v>
      </c>
      <c r="R536" s="366">
        <f>IF(Table6[[#This Row],[Work Start TimeStamp]]="","",(Table6[[#This Row],[Work Start TimeStamp]]-Table6[[#This Row],[Fault Start TimeStamp]])*24)</f>
        <v>3.9666666666666659</v>
      </c>
      <c r="S536" s="367">
        <f>(Table6[[#This Row],[Fault Clearance time]]-Table6[[#This Row],[Work Start TimeStamp]])*24</f>
        <v>9.9999999999999645E-2</v>
      </c>
      <c r="T536" s="368">
        <f>(Table6[[#This Row],[Fault Clearance time]]-Table6[[#This Row],[Fault Start TimeStamp]])*24</f>
        <v>4.0666666666666655</v>
      </c>
      <c r="U536" s="364" t="s">
        <v>493</v>
      </c>
      <c r="V536" s="369" t="s">
        <v>463</v>
      </c>
      <c r="W536" s="354">
        <f>Table6[[#This Row],[Breakdown Time]]*(1/39)</f>
        <v>0.10427350427350424</v>
      </c>
      <c r="X536" s="352" t="s">
        <v>465</v>
      </c>
      <c r="Y536" s="370" t="s">
        <v>136</v>
      </c>
      <c r="Z536" s="121">
        <v>4516</v>
      </c>
      <c r="AA536" s="123">
        <v>765.21111111111088</v>
      </c>
      <c r="AB536" s="121" t="s">
        <v>478</v>
      </c>
    </row>
    <row r="537" spans="1:28">
      <c r="A537" s="121">
        <f t="shared" si="8"/>
        <v>536</v>
      </c>
      <c r="B537" s="123">
        <f>YEAR(Table6[[#This Row],[Date]])+IF(MONTH(Table6[[#This Row],[Date]])&gt;=4,1,0)</f>
        <v>2026</v>
      </c>
      <c r="C537" s="121">
        <f>YEAR(Table6[[#This Row],[Date]])</f>
        <v>2025</v>
      </c>
      <c r="D537" s="121" t="s">
        <v>490</v>
      </c>
      <c r="E537" s="135">
        <f>Table6[[#This Row],[Date]]-DAY(Table6[[#This Row],[Date]])+1</f>
        <v>45778</v>
      </c>
      <c r="F537" s="134">
        <v>45791</v>
      </c>
      <c r="G537" s="121" t="s">
        <v>144</v>
      </c>
      <c r="H537" s="39" t="str">
        <f>_xlfn.XLOOKUP(Table6[[#This Row],[Affected WTG]],'Basic Data'!$A:$A,'Basic Data'!$B:$B)</f>
        <v>PWEGPL</v>
      </c>
      <c r="I537" s="39" t="str">
        <f>_xlfn.XLOOKUP(Table6[[#This Row],[Affected WTG]],'Basic Data'!$A:$A,'Basic Data'!$C:$C)</f>
        <v>MSEDCL</v>
      </c>
      <c r="J537" s="363">
        <f>IFERROR(VLOOKUP(Table6[[#This Row],[Affected WTG]],'Basic Data'!$A$3:$E$56,5,0),"")</f>
        <v>2.564102564102564E-2</v>
      </c>
      <c r="K537" s="121" t="s">
        <v>492</v>
      </c>
      <c r="L537" s="39" t="str">
        <f>IFERROR(VLOOKUP(Table6[[#This Row],[Error Code]],'Basic Data'!$T:$U,2,0),"")</f>
        <v>Manual Stop - Safety Related</v>
      </c>
      <c r="M537" s="364" t="s">
        <v>481</v>
      </c>
      <c r="O537" s="365">
        <v>0</v>
      </c>
      <c r="P537" s="365">
        <v>0.99930555555555556</v>
      </c>
      <c r="Q537" s="365">
        <v>0.99930555555555556</v>
      </c>
      <c r="R537" s="366">
        <f>IF(Table6[[#This Row],[Work Start TimeStamp]]="","",(Table6[[#This Row],[Work Start TimeStamp]]-Table6[[#This Row],[Fault Start TimeStamp]])*24)</f>
        <v>23.983333333333334</v>
      </c>
      <c r="S537" s="367">
        <f>(Table6[[#This Row],[Fault Clearance time]]-Table6[[#This Row],[Work Start TimeStamp]])*24</f>
        <v>0</v>
      </c>
      <c r="T537" s="368">
        <f>(Table6[[#This Row],[Fault Clearance time]]-Table6[[#This Row],[Fault Start TimeStamp]])*24</f>
        <v>23.983333333333334</v>
      </c>
      <c r="U537" s="376" t="s">
        <v>498</v>
      </c>
      <c r="V537" s="369" t="s">
        <v>473</v>
      </c>
      <c r="W537" s="354">
        <f>Table6[[#This Row],[Breakdown Time]]*(1/39)</f>
        <v>0.61495726495726499</v>
      </c>
      <c r="X537" s="352" t="s">
        <v>468</v>
      </c>
      <c r="Y537" s="370" t="s">
        <v>143</v>
      </c>
      <c r="Z537" s="121">
        <v>3268</v>
      </c>
      <c r="AA537" s="123">
        <v>3265.7305555555554</v>
      </c>
      <c r="AB537" s="121" t="s">
        <v>478</v>
      </c>
    </row>
    <row r="538" spans="1:28">
      <c r="A538" s="121">
        <f t="shared" si="8"/>
        <v>537</v>
      </c>
      <c r="B538" s="123">
        <f>YEAR(Table6[[#This Row],[Date]])+IF(MONTH(Table6[[#This Row],[Date]])&gt;=4,1,0)</f>
        <v>2026</v>
      </c>
      <c r="C538" s="121">
        <f>YEAR(Table6[[#This Row],[Date]])</f>
        <v>2025</v>
      </c>
      <c r="D538" s="121" t="s">
        <v>490</v>
      </c>
      <c r="E538" s="135">
        <f>Table6[[#This Row],[Date]]-DAY(Table6[[#This Row],[Date]])+1</f>
        <v>45778</v>
      </c>
      <c r="F538" s="134">
        <v>45791</v>
      </c>
      <c r="G538" s="121" t="s">
        <v>142</v>
      </c>
      <c r="H538" s="39" t="str">
        <f>_xlfn.XLOOKUP(Table6[[#This Row],[Affected WTG]],'Basic Data'!$A:$A,'Basic Data'!$B:$B)</f>
        <v>PWEGPL</v>
      </c>
      <c r="I538" s="39" t="str">
        <f>_xlfn.XLOOKUP(Table6[[#This Row],[Affected WTG]],'Basic Data'!$A:$A,'Basic Data'!$C:$C)</f>
        <v>MSEDCL</v>
      </c>
      <c r="J538" s="363">
        <f>IFERROR(VLOOKUP(Table6[[#This Row],[Affected WTG]],'Basic Data'!$A$3:$E$56,5,0),"")</f>
        <v>2.564102564102564E-2</v>
      </c>
      <c r="K538" s="121" t="s">
        <v>492</v>
      </c>
      <c r="L538" s="39" t="str">
        <f>IFERROR(VLOOKUP(Table6[[#This Row],[Error Code]],'Basic Data'!$T:$U,2,0),"")</f>
        <v>Manual Stop - Safety Related</v>
      </c>
      <c r="M538" s="364" t="s">
        <v>481</v>
      </c>
      <c r="O538" s="365">
        <v>0</v>
      </c>
      <c r="P538" s="365">
        <v>0.99930555555555556</v>
      </c>
      <c r="Q538" s="365">
        <v>0.99930555555555556</v>
      </c>
      <c r="R538" s="366">
        <f>IF(Table6[[#This Row],[Work Start TimeStamp]]="","",(Table6[[#This Row],[Work Start TimeStamp]]-Table6[[#This Row],[Fault Start TimeStamp]])*24)</f>
        <v>23.983333333333334</v>
      </c>
      <c r="S538" s="367">
        <f>(Table6[[#This Row],[Fault Clearance time]]-Table6[[#This Row],[Work Start TimeStamp]])*24</f>
        <v>0</v>
      </c>
      <c r="T538" s="368">
        <f>(Table6[[#This Row],[Fault Clearance time]]-Table6[[#This Row],[Fault Start TimeStamp]])*24</f>
        <v>23.983333333333334</v>
      </c>
      <c r="U538" s="376" t="s">
        <v>498</v>
      </c>
      <c r="V538" s="369" t="s">
        <v>473</v>
      </c>
      <c r="W538" s="354">
        <f>Table6[[#This Row],[Breakdown Time]]*(1/39)</f>
        <v>0.61495726495726499</v>
      </c>
      <c r="X538" s="352" t="s">
        <v>468</v>
      </c>
      <c r="Y538" s="370" t="s">
        <v>143</v>
      </c>
      <c r="Z538" s="121">
        <v>3268</v>
      </c>
      <c r="AA538" s="123">
        <v>3265.7305555555554</v>
      </c>
      <c r="AB538" s="121" t="s">
        <v>478</v>
      </c>
    </row>
    <row r="539" spans="1:28">
      <c r="A539" s="121">
        <f t="shared" si="8"/>
        <v>538</v>
      </c>
      <c r="B539" s="123">
        <f>YEAR(Table6[[#This Row],[Date]])+IF(MONTH(Table6[[#This Row],[Date]])&gt;=4,1,0)</f>
        <v>2026</v>
      </c>
      <c r="C539" s="121">
        <f>YEAR(Table6[[#This Row],[Date]])</f>
        <v>2025</v>
      </c>
      <c r="D539" s="121" t="s">
        <v>490</v>
      </c>
      <c r="E539" s="135">
        <f>Table6[[#This Row],[Date]]-DAY(Table6[[#This Row],[Date]])+1</f>
        <v>45778</v>
      </c>
      <c r="F539" s="134">
        <v>45791</v>
      </c>
      <c r="G539" s="121" t="s">
        <v>141</v>
      </c>
      <c r="H539" s="39" t="str">
        <f>_xlfn.XLOOKUP(Table6[[#This Row],[Affected WTG]],'Basic Data'!$A:$A,'Basic Data'!$B:$B)</f>
        <v>PWEGPL</v>
      </c>
      <c r="I539" s="39" t="str">
        <f>_xlfn.XLOOKUP(Table6[[#This Row],[Affected WTG]],'Basic Data'!$A:$A,'Basic Data'!$C:$C)</f>
        <v>MSEDCL</v>
      </c>
      <c r="J539" s="363">
        <f>IFERROR(VLOOKUP(Table6[[#This Row],[Affected WTG]],'Basic Data'!$A$3:$E$56,5,0),"")</f>
        <v>2.564102564102564E-2</v>
      </c>
      <c r="K539" s="121">
        <v>803</v>
      </c>
      <c r="L539" s="39" t="str">
        <f>IFERROR(VLOOKUP(Table6[[#This Row],[Error Code]],'Basic Data'!$T:$U,2,0),"")</f>
        <v>Low Pitch Value In Stop Mode (1 Cylinder)</v>
      </c>
      <c r="M539" s="364" t="s">
        <v>462</v>
      </c>
      <c r="O539" s="365">
        <v>0.46527777777777779</v>
      </c>
      <c r="P539" s="365">
        <v>0.49652777777777779</v>
      </c>
      <c r="Q539" s="365">
        <v>0.6</v>
      </c>
      <c r="R539" s="366">
        <f>IF(Table6[[#This Row],[Work Start TimeStamp]]="","",(Table6[[#This Row],[Work Start TimeStamp]]-Table6[[#This Row],[Fault Start TimeStamp]])*24)</f>
        <v>0.75</v>
      </c>
      <c r="S539" s="367">
        <f>(Table6[[#This Row],[Fault Clearance time]]-Table6[[#This Row],[Work Start TimeStamp]])*24</f>
        <v>2.4833333333333325</v>
      </c>
      <c r="T539" s="368">
        <f>(Table6[[#This Row],[Fault Clearance time]]-Table6[[#This Row],[Fault Start TimeStamp]])*24</f>
        <v>3.2333333333333325</v>
      </c>
      <c r="U539" s="376" t="s">
        <v>600</v>
      </c>
      <c r="V539" s="369" t="s">
        <v>463</v>
      </c>
      <c r="W539" s="354">
        <f>Table6[[#This Row],[Breakdown Time]]*(1/39)</f>
        <v>8.2905982905982875E-2</v>
      </c>
      <c r="X539" s="352" t="s">
        <v>465</v>
      </c>
      <c r="Y539" s="370" t="s">
        <v>143</v>
      </c>
      <c r="Z539" s="121">
        <v>3268</v>
      </c>
      <c r="AA539" s="123">
        <v>440.27222222222207</v>
      </c>
      <c r="AB539" s="121" t="s">
        <v>478</v>
      </c>
    </row>
    <row r="540" spans="1:28">
      <c r="A540" s="121">
        <f t="shared" si="8"/>
        <v>539</v>
      </c>
      <c r="B540" s="123">
        <f>YEAR(Table6[[#This Row],[Date]])+IF(MONTH(Table6[[#This Row],[Date]])&gt;=4,1,0)</f>
        <v>2026</v>
      </c>
      <c r="C540" s="121">
        <f>YEAR(Table6[[#This Row],[Date]])</f>
        <v>2025</v>
      </c>
      <c r="D540" s="121" t="s">
        <v>490</v>
      </c>
      <c r="E540" s="135">
        <f>Table6[[#This Row],[Date]]-DAY(Table6[[#This Row],[Date]])+1</f>
        <v>45778</v>
      </c>
      <c r="F540" s="134">
        <v>45791</v>
      </c>
      <c r="G540" s="121" t="s">
        <v>153</v>
      </c>
      <c r="H540" s="39" t="str">
        <f>_xlfn.XLOOKUP(Table6[[#This Row],[Affected WTG]],'Basic Data'!$A:$A,'Basic Data'!$B:$B)</f>
        <v>PWEGPL</v>
      </c>
      <c r="I540" s="39" t="str">
        <f>_xlfn.XLOOKUP(Table6[[#This Row],[Affected WTG]],'Basic Data'!$A:$A,'Basic Data'!$C:$C)</f>
        <v>MSEDCL</v>
      </c>
      <c r="J540" s="363">
        <f>IFERROR(VLOOKUP(Table6[[#This Row],[Affected WTG]],'Basic Data'!$A$3:$E$56,5,0),"")</f>
        <v>2.564102564102564E-2</v>
      </c>
      <c r="K540" s="121">
        <v>5216</v>
      </c>
      <c r="L540" s="39" t="str">
        <f>IFERROR(VLOOKUP(Table6[[#This Row],[Error Code]],'Basic Data'!$T:$U,2,0),"")</f>
        <v>Grid Voltage Failure</v>
      </c>
      <c r="M540" s="364" t="s">
        <v>462</v>
      </c>
      <c r="O540" s="365">
        <v>0</v>
      </c>
      <c r="P540" s="365">
        <v>0.99930555555555556</v>
      </c>
      <c r="Q540" s="365">
        <v>0.99930555555555556</v>
      </c>
      <c r="R540" s="366">
        <f>IF(Table6[[#This Row],[Work Start TimeStamp]]="","",(Table6[[#This Row],[Work Start TimeStamp]]-Table6[[#This Row],[Fault Start TimeStamp]])*24)</f>
        <v>23.983333333333334</v>
      </c>
      <c r="S540" s="367">
        <f>(Table6[[#This Row],[Fault Clearance time]]-Table6[[#This Row],[Work Start TimeStamp]])*24</f>
        <v>0</v>
      </c>
      <c r="T540" s="368">
        <f>(Table6[[#This Row],[Fault Clearance time]]-Table6[[#This Row],[Fault Start TimeStamp]])*24</f>
        <v>23.983333333333334</v>
      </c>
      <c r="U540" s="364" t="s">
        <v>1224</v>
      </c>
      <c r="V540" s="369" t="s">
        <v>473</v>
      </c>
      <c r="W540" s="354">
        <f>Table6[[#This Row],[Breakdown Time]]*(1/39)</f>
        <v>0.61495726495726499</v>
      </c>
      <c r="X540" s="352" t="s">
        <v>465</v>
      </c>
      <c r="Y540" s="370" t="s">
        <v>152</v>
      </c>
      <c r="Z540" s="121">
        <v>2901</v>
      </c>
      <c r="AA540" s="123">
        <v>2898.9854166666669</v>
      </c>
      <c r="AB540" s="121" t="s">
        <v>599</v>
      </c>
    </row>
    <row r="541" spans="1:28">
      <c r="A541" s="121">
        <f t="shared" si="8"/>
        <v>540</v>
      </c>
      <c r="B541" s="123">
        <f>YEAR(Table6[[#This Row],[Date]])+IF(MONTH(Table6[[#This Row],[Date]])&gt;=4,1,0)</f>
        <v>2026</v>
      </c>
      <c r="C541" s="121">
        <f>YEAR(Table6[[#This Row],[Date]])</f>
        <v>2025</v>
      </c>
      <c r="D541" s="121" t="s">
        <v>490</v>
      </c>
      <c r="E541" s="135">
        <f>Table6[[#This Row],[Date]]-DAY(Table6[[#This Row],[Date]])+1</f>
        <v>45778</v>
      </c>
      <c r="F541" s="134">
        <v>45791</v>
      </c>
      <c r="G541" s="121" t="s">
        <v>128</v>
      </c>
      <c r="H541" s="39" t="str">
        <f>_xlfn.XLOOKUP(Table6[[#This Row],[Affected WTG]],'Basic Data'!$A:$A,'Basic Data'!$B:$B)</f>
        <v>PWEGPL</v>
      </c>
      <c r="I541" s="39" t="str">
        <f>_xlfn.XLOOKUP(Table6[[#This Row],[Affected WTG]],'Basic Data'!$A:$A,'Basic Data'!$C:$C)</f>
        <v>MSEDCL</v>
      </c>
      <c r="J541" s="363">
        <f>IFERROR(VLOOKUP(Table6[[#This Row],[Affected WTG]],'Basic Data'!$A$3:$E$56,5,0),"")</f>
        <v>2.564102564102564E-2</v>
      </c>
      <c r="K541" s="121">
        <v>5232</v>
      </c>
      <c r="L541" s="39" t="str">
        <f>IFERROR(VLOOKUP(Table6[[#This Row],[Error Code]],'Basic Data'!$T:$U,2,0),"")</f>
        <v>Error In Phase R Of The Rectifier</v>
      </c>
      <c r="M541" s="364" t="s">
        <v>462</v>
      </c>
      <c r="O541" s="365">
        <v>0.27083333333333331</v>
      </c>
      <c r="P541" s="365">
        <v>0.34097222222222223</v>
      </c>
      <c r="Q541" s="365">
        <v>0.92361111111111116</v>
      </c>
      <c r="R541" s="366">
        <f>IF(Table6[[#This Row],[Work Start TimeStamp]]="","",(Table6[[#This Row],[Work Start TimeStamp]]-Table6[[#This Row],[Fault Start TimeStamp]])*24)</f>
        <v>1.683333333333334</v>
      </c>
      <c r="S541" s="367">
        <f>(Table6[[#This Row],[Fault Clearance time]]-Table6[[#This Row],[Work Start TimeStamp]])*24</f>
        <v>13.983333333333334</v>
      </c>
      <c r="T541" s="368">
        <f>(Table6[[#This Row],[Fault Clearance time]]-Table6[[#This Row],[Fault Start TimeStamp]])*24</f>
        <v>15.66666666666667</v>
      </c>
      <c r="U541" s="376" t="s">
        <v>601</v>
      </c>
      <c r="V541" s="369" t="s">
        <v>463</v>
      </c>
      <c r="W541" s="354">
        <f>Table6[[#This Row],[Breakdown Time]]*(1/39)</f>
        <v>0.40170940170940178</v>
      </c>
      <c r="X541" s="352" t="s">
        <v>465</v>
      </c>
      <c r="Y541" s="370" t="s">
        <v>129</v>
      </c>
      <c r="Z541" s="121">
        <v>5076</v>
      </c>
      <c r="AA541" s="123">
        <v>3313.5000000000005</v>
      </c>
      <c r="AB541" s="121" t="s">
        <v>478</v>
      </c>
    </row>
    <row r="542" spans="1:28">
      <c r="A542" s="121">
        <f t="shared" si="8"/>
        <v>541</v>
      </c>
      <c r="B542" s="123">
        <f>YEAR(Table6[[#This Row],[Date]])+IF(MONTH(Table6[[#This Row],[Date]])&gt;=4,1,0)</f>
        <v>2026</v>
      </c>
      <c r="C542" s="121">
        <f>YEAR(Table6[[#This Row],[Date]])</f>
        <v>2025</v>
      </c>
      <c r="D542" s="121" t="s">
        <v>490</v>
      </c>
      <c r="E542" s="135">
        <f>Table6[[#This Row],[Date]]-DAY(Table6[[#This Row],[Date]])+1</f>
        <v>45778</v>
      </c>
      <c r="F542" s="134">
        <v>45791</v>
      </c>
      <c r="G542" s="121" t="s">
        <v>118</v>
      </c>
      <c r="H542" s="39" t="str">
        <f>_xlfn.XLOOKUP(Table6[[#This Row],[Affected WTG]],'Basic Data'!$A:$A,'Basic Data'!$B:$B)</f>
        <v>PWEGPL</v>
      </c>
      <c r="I542" s="39" t="str">
        <f>_xlfn.XLOOKUP(Table6[[#This Row],[Affected WTG]],'Basic Data'!$A:$A,'Basic Data'!$C:$C)</f>
        <v>MSEDCL</v>
      </c>
      <c r="J542" s="363">
        <f>IFERROR(VLOOKUP(Table6[[#This Row],[Affected WTG]],'Basic Data'!$A$3:$E$56,5,0),"")</f>
        <v>2.564102564102564E-2</v>
      </c>
      <c r="K542" s="121">
        <v>222</v>
      </c>
      <c r="L542" s="39" t="str">
        <f>IFERROR(VLOOKUP(Table6[[#This Row],[Error Code]],'Basic Data'!$T:$U,2,0),"")</f>
        <v>Very Low Pressure On Hydraulic Unit</v>
      </c>
      <c r="M542" s="364" t="s">
        <v>462</v>
      </c>
      <c r="O542" s="365">
        <v>0.74652777777777779</v>
      </c>
      <c r="P542" s="365">
        <v>0.79305555555555551</v>
      </c>
      <c r="Q542" s="365">
        <v>0.85347222222222219</v>
      </c>
      <c r="R542" s="366">
        <f>IF(Table6[[#This Row],[Work Start TimeStamp]]="","",(Table6[[#This Row],[Work Start TimeStamp]]-Table6[[#This Row],[Fault Start TimeStamp]])*24)</f>
        <v>1.1166666666666654</v>
      </c>
      <c r="S542" s="367">
        <f>(Table6[[#This Row],[Fault Clearance time]]-Table6[[#This Row],[Work Start TimeStamp]])*24</f>
        <v>1.4500000000000002</v>
      </c>
      <c r="T542" s="368">
        <f>(Table6[[#This Row],[Fault Clearance time]]-Table6[[#This Row],[Fault Start TimeStamp]])*24</f>
        <v>2.5666666666666655</v>
      </c>
      <c r="U542" s="364" t="s">
        <v>602</v>
      </c>
      <c r="V542" s="369" t="s">
        <v>463</v>
      </c>
      <c r="W542" s="354">
        <f>Table6[[#This Row],[Breakdown Time]]*(1/39)</f>
        <v>6.5811965811965786E-2</v>
      </c>
      <c r="X542" s="352" t="s">
        <v>465</v>
      </c>
      <c r="Y542" s="370" t="s">
        <v>116</v>
      </c>
      <c r="Z542" s="121">
        <v>4843</v>
      </c>
      <c r="AA542" s="123">
        <v>517.93194444444418</v>
      </c>
      <c r="AB542" s="121" t="s">
        <v>478</v>
      </c>
    </row>
    <row r="543" spans="1:28">
      <c r="A543" s="121">
        <f t="shared" si="8"/>
        <v>542</v>
      </c>
      <c r="B543" s="123">
        <f>YEAR(Table6[[#This Row],[Date]])+IF(MONTH(Table6[[#This Row],[Date]])&gt;=4,1,0)</f>
        <v>2026</v>
      </c>
      <c r="C543" s="121">
        <f>YEAR(Table6[[#This Row],[Date]])</f>
        <v>2025</v>
      </c>
      <c r="D543" s="121" t="s">
        <v>490</v>
      </c>
      <c r="E543" s="135">
        <f>Table6[[#This Row],[Date]]-DAY(Table6[[#This Row],[Date]])+1</f>
        <v>45778</v>
      </c>
      <c r="F543" s="134">
        <v>45791</v>
      </c>
      <c r="G543" s="121" t="s">
        <v>127</v>
      </c>
      <c r="H543" s="39" t="str">
        <f>_xlfn.XLOOKUP(Table6[[#This Row],[Affected WTG]],'Basic Data'!$A:$A,'Basic Data'!$B:$B)</f>
        <v>PWEGPL</v>
      </c>
      <c r="I543" s="39" t="str">
        <f>_xlfn.XLOOKUP(Table6[[#This Row],[Affected WTG]],'Basic Data'!$A:$A,'Basic Data'!$C:$C)</f>
        <v>MSEDCL</v>
      </c>
      <c r="J543" s="363">
        <f>IFERROR(VLOOKUP(Table6[[#This Row],[Affected WTG]],'Basic Data'!$A$3:$E$56,5,0),"")</f>
        <v>2.564102564102564E-2</v>
      </c>
      <c r="K543" s="121" t="s">
        <v>492</v>
      </c>
      <c r="L543" s="39" t="str">
        <f>IFERROR(VLOOKUP(Table6[[#This Row],[Error Code]],'Basic Data'!$T:$U,2,0),"")</f>
        <v>Manual Stop - Safety Related</v>
      </c>
      <c r="M543" s="364" t="s">
        <v>481</v>
      </c>
      <c r="O543" s="365">
        <v>0.63541666666666663</v>
      </c>
      <c r="P543" s="365">
        <v>0.63541666666666663</v>
      </c>
      <c r="Q543" s="365">
        <v>0.77083333333333337</v>
      </c>
      <c r="R543" s="366">
        <f>IF(Table6[[#This Row],[Work Start TimeStamp]]="","",(Table6[[#This Row],[Work Start TimeStamp]]-Table6[[#This Row],[Fault Start TimeStamp]])*24)</f>
        <v>0</v>
      </c>
      <c r="S543" s="367">
        <f>(Table6[[#This Row],[Fault Clearance time]]-Table6[[#This Row],[Work Start TimeStamp]])*24</f>
        <v>3.2500000000000018</v>
      </c>
      <c r="T543" s="368">
        <f>(Table6[[#This Row],[Fault Clearance time]]-Table6[[#This Row],[Fault Start TimeStamp]])*24</f>
        <v>3.2500000000000018</v>
      </c>
      <c r="U543" s="364" t="s">
        <v>508</v>
      </c>
      <c r="V543" s="369" t="s">
        <v>463</v>
      </c>
      <c r="W543" s="354">
        <f>Table6[[#This Row],[Breakdown Time]]*(1/39)</f>
        <v>8.333333333333337E-2</v>
      </c>
      <c r="X543" s="352" t="s">
        <v>468</v>
      </c>
      <c r="Y543" s="370" t="s">
        <v>126</v>
      </c>
      <c r="Z543" s="121">
        <v>5012</v>
      </c>
      <c r="AA543" s="123">
        <v>678.70833333333371</v>
      </c>
      <c r="AB543" s="121" t="s">
        <v>478</v>
      </c>
    </row>
    <row r="544" spans="1:28">
      <c r="A544" s="121">
        <f t="shared" si="8"/>
        <v>543</v>
      </c>
      <c r="B544" s="123">
        <f>YEAR(Table6[[#This Row],[Date]])+IF(MONTH(Table6[[#This Row],[Date]])&gt;=4,1,0)</f>
        <v>2026</v>
      </c>
      <c r="C544" s="121">
        <f>YEAR(Table6[[#This Row],[Date]])</f>
        <v>2025</v>
      </c>
      <c r="D544" s="121" t="s">
        <v>490</v>
      </c>
      <c r="E544" s="135">
        <f>Table6[[#This Row],[Date]]-DAY(Table6[[#This Row],[Date]])+1</f>
        <v>45778</v>
      </c>
      <c r="F544" s="134">
        <v>45791</v>
      </c>
      <c r="G544" s="121" t="s">
        <v>135</v>
      </c>
      <c r="H544" s="39" t="str">
        <f>_xlfn.XLOOKUP(Table6[[#This Row],[Affected WTG]],'Basic Data'!$A:$A,'Basic Data'!$B:$B)</f>
        <v>PWEGPL</v>
      </c>
      <c r="I544" s="39" t="str">
        <f>_xlfn.XLOOKUP(Table6[[#This Row],[Affected WTG]],'Basic Data'!$A:$A,'Basic Data'!$C:$C)</f>
        <v>MSEDCL</v>
      </c>
      <c r="J544" s="363">
        <f>IFERROR(VLOOKUP(Table6[[#This Row],[Affected WTG]],'Basic Data'!$A$3:$E$56,5,0),"")</f>
        <v>2.564102564102564E-2</v>
      </c>
      <c r="K544" s="121" t="s">
        <v>492</v>
      </c>
      <c r="L544" s="39" t="str">
        <f>IFERROR(VLOOKUP(Table6[[#This Row],[Error Code]],'Basic Data'!$T:$U,2,0),"")</f>
        <v>Manual Stop - Safety Related</v>
      </c>
      <c r="M544" s="364" t="s">
        <v>481</v>
      </c>
      <c r="O544" s="365">
        <v>0.31527777777777777</v>
      </c>
      <c r="P544" s="365">
        <v>0.48194444444444445</v>
      </c>
      <c r="Q544" s="365">
        <v>0.5625</v>
      </c>
      <c r="R544" s="366">
        <f>IF(Table6[[#This Row],[Work Start TimeStamp]]="","",(Table6[[#This Row],[Work Start TimeStamp]]-Table6[[#This Row],[Fault Start TimeStamp]])*24)</f>
        <v>4</v>
      </c>
      <c r="S544" s="367">
        <f>(Table6[[#This Row],[Fault Clearance time]]-Table6[[#This Row],[Work Start TimeStamp]])*24</f>
        <v>1.9333333333333331</v>
      </c>
      <c r="T544" s="368">
        <f>(Table6[[#This Row],[Fault Clearance time]]-Table6[[#This Row],[Fault Start TimeStamp]])*24</f>
        <v>5.9333333333333336</v>
      </c>
      <c r="U544" s="364" t="s">
        <v>508</v>
      </c>
      <c r="V544" s="369" t="s">
        <v>463</v>
      </c>
      <c r="W544" s="354">
        <f>Table6[[#This Row],[Breakdown Time]]*(1/39)</f>
        <v>0.15213675213675215</v>
      </c>
      <c r="X544" s="352" t="s">
        <v>468</v>
      </c>
      <c r="Y544" s="370" t="s">
        <v>136</v>
      </c>
      <c r="Z544" s="121">
        <v>3256</v>
      </c>
      <c r="AA544" s="123">
        <v>804.95555555555552</v>
      </c>
      <c r="AB544" s="121" t="s">
        <v>478</v>
      </c>
    </row>
    <row r="545" spans="1:28">
      <c r="A545" s="121">
        <f t="shared" si="8"/>
        <v>544</v>
      </c>
      <c r="B545" s="123">
        <f>YEAR(Table6[[#This Row],[Date]])+IF(MONTH(Table6[[#This Row],[Date]])&gt;=4,1,0)</f>
        <v>2026</v>
      </c>
      <c r="C545" s="121">
        <f>YEAR(Table6[[#This Row],[Date]])</f>
        <v>2025</v>
      </c>
      <c r="D545" s="121" t="s">
        <v>490</v>
      </c>
      <c r="E545" s="135">
        <f>Table6[[#This Row],[Date]]-DAY(Table6[[#This Row],[Date]])+1</f>
        <v>45778</v>
      </c>
      <c r="F545" s="134">
        <v>45791</v>
      </c>
      <c r="G545" s="121" t="s">
        <v>135</v>
      </c>
      <c r="H545" s="39" t="str">
        <f>_xlfn.XLOOKUP(Table6[[#This Row],[Affected WTG]],'Basic Data'!$A:$A,'Basic Data'!$B:$B)</f>
        <v>PWEGPL</v>
      </c>
      <c r="I545" s="39" t="str">
        <f>_xlfn.XLOOKUP(Table6[[#This Row],[Affected WTG]],'Basic Data'!$A:$A,'Basic Data'!$C:$C)</f>
        <v>MSEDCL</v>
      </c>
      <c r="J545" s="363">
        <f>IFERROR(VLOOKUP(Table6[[#This Row],[Affected WTG]],'Basic Data'!$A$3:$E$56,5,0),"")</f>
        <v>2.564102564102564E-2</v>
      </c>
      <c r="K545" s="121" t="s">
        <v>466</v>
      </c>
      <c r="L545" s="39" t="str">
        <f>IFERROR(VLOOKUP(Table6[[#This Row],[Error Code]],'Basic Data'!$T:$U,2,0),"")</f>
        <v>Manual Stop</v>
      </c>
      <c r="M545" s="364" t="s">
        <v>481</v>
      </c>
      <c r="O545" s="365">
        <v>8.4722222222222227E-2</v>
      </c>
      <c r="P545" s="365">
        <v>8.4722222222222227E-2</v>
      </c>
      <c r="Q545" s="365">
        <v>0.13750000000000001</v>
      </c>
      <c r="R545" s="366">
        <f>IF(Table6[[#This Row],[Work Start TimeStamp]]="","",(Table6[[#This Row],[Work Start TimeStamp]]-Table6[[#This Row],[Fault Start TimeStamp]])*24)</f>
        <v>0</v>
      </c>
      <c r="S545" s="367">
        <f>(Table6[[#This Row],[Fault Clearance time]]-Table6[[#This Row],[Work Start TimeStamp]])*24</f>
        <v>1.2666666666666668</v>
      </c>
      <c r="T545" s="368">
        <f>(Table6[[#This Row],[Fault Clearance time]]-Table6[[#This Row],[Fault Start TimeStamp]])*24</f>
        <v>1.2666666666666668</v>
      </c>
      <c r="U545" s="364" t="s">
        <v>603</v>
      </c>
      <c r="V545" s="369" t="s">
        <v>463</v>
      </c>
      <c r="W545" s="354">
        <f>Table6[[#This Row],[Breakdown Time]]*(1/39)</f>
        <v>3.2478632478632481E-2</v>
      </c>
      <c r="X545" s="352" t="s">
        <v>464</v>
      </c>
      <c r="Y545" s="370" t="s">
        <v>136</v>
      </c>
      <c r="Z545" s="121">
        <v>3256</v>
      </c>
      <c r="AA545" s="123">
        <v>171.84444444444446</v>
      </c>
      <c r="AB545" s="121" t="s">
        <v>478</v>
      </c>
    </row>
    <row r="546" spans="1:28">
      <c r="A546" s="121">
        <f t="shared" si="8"/>
        <v>545</v>
      </c>
      <c r="B546" s="123">
        <f>YEAR(Table6[[#This Row],[Date]])+IF(MONTH(Table6[[#This Row],[Date]])&gt;=4,1,0)</f>
        <v>2026</v>
      </c>
      <c r="C546" s="121">
        <f>YEAR(Table6[[#This Row],[Date]])</f>
        <v>2025</v>
      </c>
      <c r="D546" s="121" t="s">
        <v>490</v>
      </c>
      <c r="E546" s="135">
        <f>Table6[[#This Row],[Date]]-DAY(Table6[[#This Row],[Date]])+1</f>
        <v>45778</v>
      </c>
      <c r="F546" s="134">
        <v>45792</v>
      </c>
      <c r="G546" s="121" t="s">
        <v>144</v>
      </c>
      <c r="H546" s="39" t="str">
        <f>_xlfn.XLOOKUP(Table6[[#This Row],[Affected WTG]],'Basic Data'!$A:$A,'Basic Data'!$B:$B)</f>
        <v>PWEGPL</v>
      </c>
      <c r="I546" s="39" t="str">
        <f>_xlfn.XLOOKUP(Table6[[#This Row],[Affected WTG]],'Basic Data'!$A:$A,'Basic Data'!$C:$C)</f>
        <v>MSEDCL</v>
      </c>
      <c r="J546" s="363">
        <f>IFERROR(VLOOKUP(Table6[[#This Row],[Affected WTG]],'Basic Data'!$A$3:$E$56,5,0),"")</f>
        <v>2.564102564102564E-2</v>
      </c>
      <c r="K546" s="121" t="s">
        <v>492</v>
      </c>
      <c r="L546" s="39" t="str">
        <f>IFERROR(VLOOKUP(Table6[[#This Row],[Error Code]],'Basic Data'!$T:$U,2,0),"")</f>
        <v>Manual Stop - Safety Related</v>
      </c>
      <c r="M546" s="364" t="s">
        <v>481</v>
      </c>
      <c r="O546" s="365">
        <v>0</v>
      </c>
      <c r="P546" s="365">
        <v>0.99930555555555556</v>
      </c>
      <c r="Q546" s="365">
        <v>0.99930555555555556</v>
      </c>
      <c r="R546" s="366">
        <f>IF(Table6[[#This Row],[Work Start TimeStamp]]="","",(Table6[[#This Row],[Work Start TimeStamp]]-Table6[[#This Row],[Fault Start TimeStamp]])*24)</f>
        <v>23.983333333333334</v>
      </c>
      <c r="S546" s="367">
        <f>(Table6[[#This Row],[Fault Clearance time]]-Table6[[#This Row],[Work Start TimeStamp]])*24</f>
        <v>0</v>
      </c>
      <c r="T546" s="368">
        <f>(Table6[[#This Row],[Fault Clearance time]]-Table6[[#This Row],[Fault Start TimeStamp]])*24</f>
        <v>23.983333333333334</v>
      </c>
      <c r="U546" s="364" t="s">
        <v>498</v>
      </c>
      <c r="V546" s="369" t="s">
        <v>473</v>
      </c>
      <c r="W546" s="354">
        <f>Table6[[#This Row],[Breakdown Time]]*(1/39)</f>
        <v>0.61495726495726499</v>
      </c>
      <c r="X546" s="352" t="s">
        <v>468</v>
      </c>
      <c r="Y546" s="370" t="s">
        <v>141</v>
      </c>
      <c r="Z546" s="121">
        <v>5042</v>
      </c>
      <c r="AA546" s="123">
        <v>5038.4986111111111</v>
      </c>
      <c r="AB546" s="121" t="s">
        <v>478</v>
      </c>
    </row>
    <row r="547" spans="1:28">
      <c r="A547" s="121">
        <f t="shared" si="8"/>
        <v>546</v>
      </c>
      <c r="B547" s="123">
        <f>YEAR(Table6[[#This Row],[Date]])+IF(MONTH(Table6[[#This Row],[Date]])&gt;=4,1,0)</f>
        <v>2026</v>
      </c>
      <c r="C547" s="121">
        <f>YEAR(Table6[[#This Row],[Date]])</f>
        <v>2025</v>
      </c>
      <c r="D547" s="121" t="s">
        <v>490</v>
      </c>
      <c r="E547" s="135">
        <f>Table6[[#This Row],[Date]]-DAY(Table6[[#This Row],[Date]])+1</f>
        <v>45778</v>
      </c>
      <c r="F547" s="134">
        <v>45792</v>
      </c>
      <c r="G547" s="121" t="s">
        <v>142</v>
      </c>
      <c r="H547" s="39" t="str">
        <f>_xlfn.XLOOKUP(Table6[[#This Row],[Affected WTG]],'Basic Data'!$A:$A,'Basic Data'!$B:$B)</f>
        <v>PWEGPL</v>
      </c>
      <c r="I547" s="39" t="str">
        <f>_xlfn.XLOOKUP(Table6[[#This Row],[Affected WTG]],'Basic Data'!$A:$A,'Basic Data'!$C:$C)</f>
        <v>MSEDCL</v>
      </c>
      <c r="J547" s="363">
        <f>IFERROR(VLOOKUP(Table6[[#This Row],[Affected WTG]],'Basic Data'!$A$3:$E$56,5,0),"")</f>
        <v>2.564102564102564E-2</v>
      </c>
      <c r="K547" s="121" t="s">
        <v>492</v>
      </c>
      <c r="L547" s="39" t="str">
        <f>IFERROR(VLOOKUP(Table6[[#This Row],[Error Code]],'Basic Data'!$T:$U,2,0),"")</f>
        <v>Manual Stop - Safety Related</v>
      </c>
      <c r="M547" s="364" t="s">
        <v>481</v>
      </c>
      <c r="O547" s="365">
        <v>0</v>
      </c>
      <c r="P547" s="365">
        <v>0.99930555555555556</v>
      </c>
      <c r="Q547" s="365">
        <v>0.99930555555555556</v>
      </c>
      <c r="R547" s="366">
        <f>IF(Table6[[#This Row],[Work Start TimeStamp]]="","",(Table6[[#This Row],[Work Start TimeStamp]]-Table6[[#This Row],[Fault Start TimeStamp]])*24)</f>
        <v>23.983333333333334</v>
      </c>
      <c r="S547" s="367">
        <f>(Table6[[#This Row],[Fault Clearance time]]-Table6[[#This Row],[Work Start TimeStamp]])*24</f>
        <v>0</v>
      </c>
      <c r="T547" s="368">
        <f>(Table6[[#This Row],[Fault Clearance time]]-Table6[[#This Row],[Fault Start TimeStamp]])*24</f>
        <v>23.983333333333334</v>
      </c>
      <c r="U547" s="364" t="s">
        <v>498</v>
      </c>
      <c r="V547" s="369" t="s">
        <v>473</v>
      </c>
      <c r="W547" s="354">
        <f>Table6[[#This Row],[Breakdown Time]]*(1/39)</f>
        <v>0.61495726495726499</v>
      </c>
      <c r="X547" s="352" t="s">
        <v>468</v>
      </c>
      <c r="Y547" s="370" t="s">
        <v>141</v>
      </c>
      <c r="Z547" s="121">
        <v>5042</v>
      </c>
      <c r="AA547" s="123">
        <v>5038.4986111111111</v>
      </c>
      <c r="AB547" s="121" t="s">
        <v>478</v>
      </c>
    </row>
    <row r="548" spans="1:28">
      <c r="A548" s="121">
        <f t="shared" si="8"/>
        <v>547</v>
      </c>
      <c r="B548" s="123">
        <f>YEAR(Table6[[#This Row],[Date]])+IF(MONTH(Table6[[#This Row],[Date]])&gt;=4,1,0)</f>
        <v>2026</v>
      </c>
      <c r="C548" s="121">
        <f>YEAR(Table6[[#This Row],[Date]])</f>
        <v>2025</v>
      </c>
      <c r="D548" s="121" t="s">
        <v>490</v>
      </c>
      <c r="E548" s="135">
        <f>Table6[[#This Row],[Date]]-DAY(Table6[[#This Row],[Date]])+1</f>
        <v>45778</v>
      </c>
      <c r="F548" s="134">
        <v>45792</v>
      </c>
      <c r="G548" s="121" t="s">
        <v>120</v>
      </c>
      <c r="H548" s="39" t="str">
        <f>_xlfn.XLOOKUP(Table6[[#This Row],[Affected WTG]],'Basic Data'!$A:$A,'Basic Data'!$B:$B)</f>
        <v>PWEGPL</v>
      </c>
      <c r="I548" s="39" t="str">
        <f>_xlfn.XLOOKUP(Table6[[#This Row],[Affected WTG]],'Basic Data'!$A:$A,'Basic Data'!$C:$C)</f>
        <v>MSEDCL</v>
      </c>
      <c r="J548" s="363">
        <f>IFERROR(VLOOKUP(Table6[[#This Row],[Affected WTG]],'Basic Data'!$A$3:$E$56,5,0),"")</f>
        <v>2.564102564102564E-2</v>
      </c>
      <c r="K548" s="121" t="s">
        <v>466</v>
      </c>
      <c r="L548" s="39" t="str">
        <f>IFERROR(VLOOKUP(Table6[[#This Row],[Error Code]],'Basic Data'!$T:$U,2,0),"")</f>
        <v>Manual Stop</v>
      </c>
      <c r="M548" s="364" t="s">
        <v>507</v>
      </c>
      <c r="O548" s="365">
        <v>0.4777777777777778</v>
      </c>
      <c r="P548" s="365">
        <v>0.4777777777777778</v>
      </c>
      <c r="Q548" s="365">
        <v>0.60138888888888886</v>
      </c>
      <c r="R548" s="366">
        <f>IF(Table6[[#This Row],[Work Start TimeStamp]]="","",(Table6[[#This Row],[Work Start TimeStamp]]-Table6[[#This Row],[Fault Start TimeStamp]])*24)</f>
        <v>0</v>
      </c>
      <c r="S548" s="367">
        <f>(Table6[[#This Row],[Fault Clearance time]]-Table6[[#This Row],[Work Start TimeStamp]])*24</f>
        <v>2.9666666666666655</v>
      </c>
      <c r="T548" s="368">
        <f>(Table6[[#This Row],[Fault Clearance time]]-Table6[[#This Row],[Fault Start TimeStamp]])*24</f>
        <v>2.9666666666666655</v>
      </c>
      <c r="U548" s="364" t="s">
        <v>583</v>
      </c>
      <c r="V548" s="369" t="s">
        <v>463</v>
      </c>
      <c r="W548" s="354">
        <f>Table6[[#This Row],[Breakdown Time]]*(1/39)</f>
        <v>7.6068376068376034E-2</v>
      </c>
      <c r="X548" s="352" t="s">
        <v>464</v>
      </c>
      <c r="Y548" s="370" t="s">
        <v>117</v>
      </c>
      <c r="Z548" s="121">
        <v>6423</v>
      </c>
      <c r="AA548" s="123">
        <v>793.95416666666631</v>
      </c>
      <c r="AB548" s="121" t="s">
        <v>478</v>
      </c>
    </row>
    <row r="549" spans="1:28">
      <c r="A549" s="121">
        <f t="shared" si="8"/>
        <v>548</v>
      </c>
      <c r="B549" s="123">
        <f>YEAR(Table6[[#This Row],[Date]])+IF(MONTH(Table6[[#This Row],[Date]])&gt;=4,1,0)</f>
        <v>2026</v>
      </c>
      <c r="C549" s="121">
        <f>YEAR(Table6[[#This Row],[Date]])</f>
        <v>2025</v>
      </c>
      <c r="D549" s="121" t="s">
        <v>490</v>
      </c>
      <c r="E549" s="135">
        <f>Table6[[#This Row],[Date]]-DAY(Table6[[#This Row],[Date]])+1</f>
        <v>45778</v>
      </c>
      <c r="F549" s="134">
        <v>45792</v>
      </c>
      <c r="G549" s="121" t="s">
        <v>121</v>
      </c>
      <c r="H549" s="39" t="str">
        <f>_xlfn.XLOOKUP(Table6[[#This Row],[Affected WTG]],'Basic Data'!$A:$A,'Basic Data'!$B:$B)</f>
        <v>PWEGPL</v>
      </c>
      <c r="I549" s="39" t="str">
        <f>_xlfn.XLOOKUP(Table6[[#This Row],[Affected WTG]],'Basic Data'!$A:$A,'Basic Data'!$C:$C)</f>
        <v>MSEDCL</v>
      </c>
      <c r="J549" s="363">
        <f>IFERROR(VLOOKUP(Table6[[#This Row],[Affected WTG]],'Basic Data'!$A$3:$E$56,5,0),"")</f>
        <v>2.564102564102564E-2</v>
      </c>
      <c r="K549" s="121" t="s">
        <v>466</v>
      </c>
      <c r="L549" s="39" t="str">
        <f>IFERROR(VLOOKUP(Table6[[#This Row],[Error Code]],'Basic Data'!$T:$U,2,0),"")</f>
        <v>Manual Stop</v>
      </c>
      <c r="M549" s="364" t="s">
        <v>507</v>
      </c>
      <c r="O549" s="365">
        <v>0.59375</v>
      </c>
      <c r="P549" s="365">
        <v>0.59375</v>
      </c>
      <c r="Q549" s="365">
        <v>0.66666666666666663</v>
      </c>
      <c r="R549" s="366">
        <f>IF(Table6[[#This Row],[Work Start TimeStamp]]="","",(Table6[[#This Row],[Work Start TimeStamp]]-Table6[[#This Row],[Fault Start TimeStamp]])*24)</f>
        <v>0</v>
      </c>
      <c r="S549" s="367">
        <f>(Table6[[#This Row],[Fault Clearance time]]-Table6[[#This Row],[Work Start TimeStamp]])*24</f>
        <v>1.7499999999999991</v>
      </c>
      <c r="T549" s="368">
        <f>(Table6[[#This Row],[Fault Clearance time]]-Table6[[#This Row],[Fault Start TimeStamp]])*24</f>
        <v>1.7499999999999991</v>
      </c>
      <c r="U549" s="364" t="s">
        <v>583</v>
      </c>
      <c r="V549" s="369" t="s">
        <v>463</v>
      </c>
      <c r="W549" s="354">
        <f>Table6[[#This Row],[Breakdown Time]]*(1/39)</f>
        <v>4.4871794871794844E-2</v>
      </c>
      <c r="X549" s="352" t="s">
        <v>464</v>
      </c>
      <c r="Y549" s="370" t="s">
        <v>115</v>
      </c>
      <c r="Z549" s="121">
        <v>6421</v>
      </c>
      <c r="AA549" s="123">
        <v>468.19791666666646</v>
      </c>
      <c r="AB549" s="121" t="s">
        <v>478</v>
      </c>
    </row>
    <row r="550" spans="1:28">
      <c r="A550" s="121">
        <f t="shared" si="8"/>
        <v>549</v>
      </c>
      <c r="B550" s="123">
        <f>YEAR(Table6[[#This Row],[Date]])+IF(MONTH(Table6[[#This Row],[Date]])&gt;=4,1,0)</f>
        <v>2026</v>
      </c>
      <c r="C550" s="121">
        <f>YEAR(Table6[[#This Row],[Date]])</f>
        <v>2025</v>
      </c>
      <c r="D550" s="121" t="s">
        <v>490</v>
      </c>
      <c r="E550" s="135">
        <f>Table6[[#This Row],[Date]]-DAY(Table6[[#This Row],[Date]])+1</f>
        <v>45778</v>
      </c>
      <c r="F550" s="134">
        <v>45792</v>
      </c>
      <c r="G550" s="121" t="s">
        <v>126</v>
      </c>
      <c r="H550" s="39" t="str">
        <f>_xlfn.XLOOKUP(Table6[[#This Row],[Affected WTG]],'Basic Data'!$A:$A,'Basic Data'!$B:$B)</f>
        <v>PWEGPL</v>
      </c>
      <c r="I550" s="39" t="str">
        <f>_xlfn.XLOOKUP(Table6[[#This Row],[Affected WTG]],'Basic Data'!$A:$A,'Basic Data'!$C:$C)</f>
        <v>MSEDCL</v>
      </c>
      <c r="J550" s="363">
        <f>IFERROR(VLOOKUP(Table6[[#This Row],[Affected WTG]],'Basic Data'!$A$3:$E$56,5,0),"")</f>
        <v>2.564102564102564E-2</v>
      </c>
      <c r="K550" s="121" t="s">
        <v>492</v>
      </c>
      <c r="L550" s="39" t="str">
        <f>IFERROR(VLOOKUP(Table6[[#This Row],[Error Code]],'Basic Data'!$T:$U,2,0),"")</f>
        <v>Manual Stop - Safety Related</v>
      </c>
      <c r="M550" s="364" t="s">
        <v>481</v>
      </c>
      <c r="O550" s="365">
        <v>0.46875</v>
      </c>
      <c r="P550" s="365">
        <v>0.46875</v>
      </c>
      <c r="Q550" s="365">
        <v>0.61111111111111116</v>
      </c>
      <c r="R550" s="366">
        <f>IF(Table6[[#This Row],[Work Start TimeStamp]]="","",(Table6[[#This Row],[Work Start TimeStamp]]-Table6[[#This Row],[Fault Start TimeStamp]])*24)</f>
        <v>0</v>
      </c>
      <c r="S550" s="367">
        <f>(Table6[[#This Row],[Fault Clearance time]]-Table6[[#This Row],[Work Start TimeStamp]])*24</f>
        <v>3.4166666666666679</v>
      </c>
      <c r="T550" s="368">
        <f>(Table6[[#This Row],[Fault Clearance time]]-Table6[[#This Row],[Fault Start TimeStamp]])*24</f>
        <v>3.4166666666666679</v>
      </c>
      <c r="U550" s="364" t="s">
        <v>508</v>
      </c>
      <c r="V550" s="369" t="s">
        <v>463</v>
      </c>
      <c r="W550" s="354">
        <f>Table6[[#This Row],[Breakdown Time]]*(1/39)</f>
        <v>8.7606837606837629E-2</v>
      </c>
      <c r="X550" s="352" t="s">
        <v>468</v>
      </c>
      <c r="Y550" s="370" t="s">
        <v>127</v>
      </c>
      <c r="Z550" s="121">
        <v>5867</v>
      </c>
      <c r="AA550" s="123">
        <v>835.23263888888926</v>
      </c>
      <c r="AB550" s="121" t="s">
        <v>478</v>
      </c>
    </row>
    <row r="551" spans="1:28">
      <c r="A551" s="121">
        <f t="shared" si="8"/>
        <v>550</v>
      </c>
      <c r="B551" s="123">
        <f>YEAR(Table6[[#This Row],[Date]])+IF(MONTH(Table6[[#This Row],[Date]])&gt;=4,1,0)</f>
        <v>2026</v>
      </c>
      <c r="C551" s="121">
        <f>YEAR(Table6[[#This Row],[Date]])</f>
        <v>2025</v>
      </c>
      <c r="D551" s="121" t="s">
        <v>490</v>
      </c>
      <c r="E551" s="135">
        <f>Table6[[#This Row],[Date]]-DAY(Table6[[#This Row],[Date]])+1</f>
        <v>45778</v>
      </c>
      <c r="F551" s="134">
        <v>45792</v>
      </c>
      <c r="G551" s="121" t="s">
        <v>138</v>
      </c>
      <c r="H551" s="39" t="str">
        <f>_xlfn.XLOOKUP(Table6[[#This Row],[Affected WTG]],'Basic Data'!$A:$A,'Basic Data'!$B:$B)</f>
        <v>PWEGPL</v>
      </c>
      <c r="I551" s="39" t="str">
        <f>_xlfn.XLOOKUP(Table6[[#This Row],[Affected WTG]],'Basic Data'!$A:$A,'Basic Data'!$C:$C)</f>
        <v>MSEDCL</v>
      </c>
      <c r="J551" s="363">
        <f>IFERROR(VLOOKUP(Table6[[#This Row],[Affected WTG]],'Basic Data'!$A$3:$E$56,5,0),"")</f>
        <v>2.564102564102564E-2</v>
      </c>
      <c r="K551" s="121">
        <v>205</v>
      </c>
      <c r="L551" s="39" t="str">
        <f>IFERROR(VLOOKUP(Table6[[#This Row],[Error Code]],'Basic Data'!$T:$U,2,0),"")</f>
        <v>Low Level Hydraulic Group Refrigeration Oil</v>
      </c>
      <c r="M551" s="364" t="s">
        <v>462</v>
      </c>
      <c r="O551" s="365">
        <v>0.55555555555555558</v>
      </c>
      <c r="P551" s="365">
        <v>0.58472222222222225</v>
      </c>
      <c r="Q551" s="365">
        <v>0.65694444444444444</v>
      </c>
      <c r="R551" s="366">
        <f>IF(Table6[[#This Row],[Work Start TimeStamp]]="","",(Table6[[#This Row],[Work Start TimeStamp]]-Table6[[#This Row],[Fault Start TimeStamp]])*24)</f>
        <v>0.70000000000000018</v>
      </c>
      <c r="S551" s="367">
        <f>(Table6[[#This Row],[Fault Clearance time]]-Table6[[#This Row],[Work Start TimeStamp]])*24</f>
        <v>1.7333333333333325</v>
      </c>
      <c r="T551" s="368">
        <f>(Table6[[#This Row],[Fault Clearance time]]-Table6[[#This Row],[Fault Start TimeStamp]])*24</f>
        <v>2.4333333333333327</v>
      </c>
      <c r="U551" s="364" t="s">
        <v>546</v>
      </c>
      <c r="V551" s="369" t="s">
        <v>463</v>
      </c>
      <c r="W551" s="354">
        <f>Table6[[#This Row],[Breakdown Time]]*(1/39)</f>
        <v>6.2393162393162373E-2</v>
      </c>
      <c r="X551" s="352" t="s">
        <v>465</v>
      </c>
      <c r="Y551" s="370" t="s">
        <v>140</v>
      </c>
      <c r="Z551" s="121">
        <v>5056</v>
      </c>
      <c r="AA551" s="123">
        <v>512.62222222222204</v>
      </c>
      <c r="AB551" s="121" t="s">
        <v>478</v>
      </c>
    </row>
    <row r="552" spans="1:28">
      <c r="A552" s="121">
        <f t="shared" si="8"/>
        <v>551</v>
      </c>
      <c r="B552" s="123">
        <f>YEAR(Table6[[#This Row],[Date]])+IF(MONTH(Table6[[#This Row],[Date]])&gt;=4,1,0)</f>
        <v>2026</v>
      </c>
      <c r="C552" s="121">
        <f>YEAR(Table6[[#This Row],[Date]])</f>
        <v>2025</v>
      </c>
      <c r="D552" s="121" t="s">
        <v>490</v>
      </c>
      <c r="E552" s="135">
        <f>Table6[[#This Row],[Date]]-DAY(Table6[[#This Row],[Date]])+1</f>
        <v>45778</v>
      </c>
      <c r="F552" s="134">
        <v>45792</v>
      </c>
      <c r="G552" s="121" t="s">
        <v>146</v>
      </c>
      <c r="H552" s="39" t="str">
        <f>_xlfn.XLOOKUP(Table6[[#This Row],[Affected WTG]],'Basic Data'!$A:$A,'Basic Data'!$B:$B)</f>
        <v>PWEGPL</v>
      </c>
      <c r="I552" s="39" t="str">
        <f>_xlfn.XLOOKUP(Table6[[#This Row],[Affected WTG]],'Basic Data'!$A:$A,'Basic Data'!$C:$C)</f>
        <v>MSEDCL</v>
      </c>
      <c r="J552" s="363">
        <f>IFERROR(VLOOKUP(Table6[[#This Row],[Affected WTG]],'Basic Data'!$A$3:$E$56,5,0),"")</f>
        <v>2.564102564102564E-2</v>
      </c>
      <c r="K552" s="121" t="s">
        <v>487</v>
      </c>
      <c r="L552" s="39" t="str">
        <f>IFERROR(VLOOKUP(Table6[[#This Row],[Error Code]],'Basic Data'!$T:$U,2,0),"")</f>
        <v>General Work Stoppage</v>
      </c>
      <c r="M552" s="364" t="s">
        <v>479</v>
      </c>
      <c r="O552" s="365">
        <v>0.51944444444444449</v>
      </c>
      <c r="P552" s="365">
        <v>0.51944444444444449</v>
      </c>
      <c r="Q552" s="365">
        <v>0.68541666666666667</v>
      </c>
      <c r="R552" s="366">
        <f>IF(Table6[[#This Row],[Work Start TimeStamp]]="","",(Table6[[#This Row],[Work Start TimeStamp]]-Table6[[#This Row],[Fault Start TimeStamp]])*24)</f>
        <v>0</v>
      </c>
      <c r="S552" s="367">
        <f>(Table6[[#This Row],[Fault Clearance time]]-Table6[[#This Row],[Work Start TimeStamp]])*24</f>
        <v>3.9833333333333325</v>
      </c>
      <c r="T552" s="368">
        <f>(Table6[[#This Row],[Fault Clearance time]]-Table6[[#This Row],[Fault Start TimeStamp]])*24</f>
        <v>3.9833333333333325</v>
      </c>
      <c r="U552" s="364" t="s">
        <v>604</v>
      </c>
      <c r="V552" s="369" t="s">
        <v>463</v>
      </c>
      <c r="W552" s="354">
        <f>Table6[[#This Row],[Breakdown Time]]*(1/39)</f>
        <v>0.10213675213675211</v>
      </c>
      <c r="X552" s="352" t="s">
        <v>464</v>
      </c>
      <c r="Y552" s="370" t="s">
        <v>147</v>
      </c>
      <c r="Z552" s="121">
        <v>4572</v>
      </c>
      <c r="AA552" s="123">
        <v>758.82499999999982</v>
      </c>
      <c r="AB552" s="121" t="s">
        <v>478</v>
      </c>
    </row>
    <row r="553" spans="1:28">
      <c r="A553" s="121">
        <f t="shared" si="8"/>
        <v>552</v>
      </c>
      <c r="B553" s="123">
        <f>YEAR(Table6[[#This Row],[Date]])+IF(MONTH(Table6[[#This Row],[Date]])&gt;=4,1,0)</f>
        <v>2026</v>
      </c>
      <c r="C553" s="121">
        <f>YEAR(Table6[[#This Row],[Date]])</f>
        <v>2025</v>
      </c>
      <c r="D553" s="121" t="s">
        <v>490</v>
      </c>
      <c r="E553" s="135">
        <f>Table6[[#This Row],[Date]]-DAY(Table6[[#This Row],[Date]])+1</f>
        <v>45778</v>
      </c>
      <c r="F553" s="134">
        <v>45792</v>
      </c>
      <c r="G553" s="121" t="s">
        <v>152</v>
      </c>
      <c r="H553" s="39" t="str">
        <f>_xlfn.XLOOKUP(Table6[[#This Row],[Affected WTG]],'Basic Data'!$A:$A,'Basic Data'!$B:$B)</f>
        <v>PWEGPL</v>
      </c>
      <c r="I553" s="39" t="str">
        <f>_xlfn.XLOOKUP(Table6[[#This Row],[Affected WTG]],'Basic Data'!$A:$A,'Basic Data'!$C:$C)</f>
        <v>MSEDCL</v>
      </c>
      <c r="J553" s="363">
        <f>IFERROR(VLOOKUP(Table6[[#This Row],[Affected WTG]],'Basic Data'!$A$3:$E$56,5,0),"")</f>
        <v>2.564102564102564E-2</v>
      </c>
      <c r="K553" s="121" t="s">
        <v>476</v>
      </c>
      <c r="L553" s="39" t="str">
        <f>IFERROR(VLOOKUP(Table6[[#This Row],[Error Code]],'Basic Data'!$T:$U,2,0),"")</f>
        <v>Manual Stop - Preventive Maintenance Activity</v>
      </c>
      <c r="M553" s="364" t="s">
        <v>474</v>
      </c>
      <c r="O553" s="365">
        <v>0.50486111111111109</v>
      </c>
      <c r="P553" s="365">
        <v>0.50486111111111109</v>
      </c>
      <c r="Q553" s="365">
        <v>0.79027777777777775</v>
      </c>
      <c r="R553" s="366">
        <f>IF(Table6[[#This Row],[Work Start TimeStamp]]="","",(Table6[[#This Row],[Work Start TimeStamp]]-Table6[[#This Row],[Fault Start TimeStamp]])*24)</f>
        <v>0</v>
      </c>
      <c r="S553" s="367">
        <f>(Table6[[#This Row],[Fault Clearance time]]-Table6[[#This Row],[Work Start TimeStamp]])*24</f>
        <v>6.85</v>
      </c>
      <c r="T553" s="368">
        <f>(Table6[[#This Row],[Fault Clearance time]]-Table6[[#This Row],[Fault Start TimeStamp]])*24</f>
        <v>6.85</v>
      </c>
      <c r="U553" s="364" t="s">
        <v>582</v>
      </c>
      <c r="V553" s="369" t="s">
        <v>463</v>
      </c>
      <c r="W553" s="354">
        <f>Table6[[#This Row],[Breakdown Time]]*(1/39)</f>
        <v>0.17564102564102563</v>
      </c>
      <c r="X553" s="352" t="s">
        <v>467</v>
      </c>
      <c r="Y553" s="370" t="s">
        <v>151</v>
      </c>
      <c r="Z553" s="121">
        <v>4588</v>
      </c>
      <c r="AA553" s="123">
        <v>1309.4916666666666</v>
      </c>
      <c r="AB553" s="121" t="s">
        <v>478</v>
      </c>
    </row>
    <row r="554" spans="1:28">
      <c r="A554" s="121">
        <f t="shared" si="8"/>
        <v>553</v>
      </c>
      <c r="B554" s="123">
        <f>YEAR(Table6[[#This Row],[Date]])+IF(MONTH(Table6[[#This Row],[Date]])&gt;=4,1,0)</f>
        <v>2026</v>
      </c>
      <c r="C554" s="121">
        <f>YEAR(Table6[[#This Row],[Date]])</f>
        <v>2025</v>
      </c>
      <c r="D554" s="121" t="s">
        <v>490</v>
      </c>
      <c r="E554" s="135">
        <f>Table6[[#This Row],[Date]]-DAY(Table6[[#This Row],[Date]])+1</f>
        <v>45778</v>
      </c>
      <c r="F554" s="134">
        <v>45792</v>
      </c>
      <c r="G554" s="121" t="s">
        <v>153</v>
      </c>
      <c r="H554" s="39" t="str">
        <f>_xlfn.XLOOKUP(Table6[[#This Row],[Affected WTG]],'Basic Data'!$A:$A,'Basic Data'!$B:$B)</f>
        <v>PWEGPL</v>
      </c>
      <c r="I554" s="39" t="str">
        <f>_xlfn.XLOOKUP(Table6[[#This Row],[Affected WTG]],'Basic Data'!$A:$A,'Basic Data'!$C:$C)</f>
        <v>MSEDCL</v>
      </c>
      <c r="J554" s="363">
        <f>IFERROR(VLOOKUP(Table6[[#This Row],[Affected WTG]],'Basic Data'!$A$3:$E$56,5,0),"")</f>
        <v>2.564102564102564E-2</v>
      </c>
      <c r="K554" s="121">
        <v>5216</v>
      </c>
      <c r="L554" s="39" t="str">
        <f>IFERROR(VLOOKUP(Table6[[#This Row],[Error Code]],'Basic Data'!$T:$U,2,0),"")</f>
        <v>Grid Voltage Failure</v>
      </c>
      <c r="M554" s="364" t="s">
        <v>462</v>
      </c>
      <c r="O554" s="365">
        <v>0</v>
      </c>
      <c r="P554" s="365">
        <v>0.81944444444444442</v>
      </c>
      <c r="Q554" s="365">
        <v>0.85624999999999996</v>
      </c>
      <c r="R554" s="366">
        <f>IF(Table6[[#This Row],[Work Start TimeStamp]]="","",(Table6[[#This Row],[Work Start TimeStamp]]-Table6[[#This Row],[Fault Start TimeStamp]])*24)</f>
        <v>19.666666666666664</v>
      </c>
      <c r="S554" s="367">
        <f>(Table6[[#This Row],[Fault Clearance time]]-Table6[[#This Row],[Work Start TimeStamp]])*24</f>
        <v>0.88333333333333286</v>
      </c>
      <c r="T554" s="368">
        <f>(Table6[[#This Row],[Fault Clearance time]]-Table6[[#This Row],[Fault Start TimeStamp]])*24</f>
        <v>20.549999999999997</v>
      </c>
      <c r="U554" s="364" t="s">
        <v>605</v>
      </c>
      <c r="V554" s="369" t="s">
        <v>463</v>
      </c>
      <c r="W554" s="354">
        <f>Table6[[#This Row],[Breakdown Time]]*(1/39)</f>
        <v>0.52692307692307683</v>
      </c>
      <c r="X554" s="352" t="s">
        <v>465</v>
      </c>
      <c r="Y554" s="370" t="s">
        <v>139</v>
      </c>
      <c r="Z554" s="121">
        <v>4572</v>
      </c>
      <c r="AA554" s="123">
        <v>3914.7749999999996</v>
      </c>
      <c r="AB554" s="121" t="s">
        <v>599</v>
      </c>
    </row>
    <row r="555" spans="1:28">
      <c r="A555" s="121">
        <f t="shared" si="8"/>
        <v>554</v>
      </c>
      <c r="B555" s="123">
        <f>YEAR(Table6[[#This Row],[Date]])+IF(MONTH(Table6[[#This Row],[Date]])&gt;=4,1,0)</f>
        <v>2026</v>
      </c>
      <c r="C555" s="121">
        <f>YEAR(Table6[[#This Row],[Date]])</f>
        <v>2025</v>
      </c>
      <c r="D555" s="121" t="s">
        <v>490</v>
      </c>
      <c r="E555" s="135">
        <f>Table6[[#This Row],[Date]]-DAY(Table6[[#This Row],[Date]])+1</f>
        <v>45778</v>
      </c>
      <c r="F555" s="134">
        <v>45793</v>
      </c>
      <c r="G555" s="121" t="s">
        <v>144</v>
      </c>
      <c r="H555" s="39" t="str">
        <f>_xlfn.XLOOKUP(Table6[[#This Row],[Affected WTG]],'Basic Data'!$A:$A,'Basic Data'!$B:$B)</f>
        <v>PWEGPL</v>
      </c>
      <c r="I555" s="39" t="str">
        <f>_xlfn.XLOOKUP(Table6[[#This Row],[Affected WTG]],'Basic Data'!$A:$A,'Basic Data'!$C:$C)</f>
        <v>MSEDCL</v>
      </c>
      <c r="J555" s="363">
        <f>IFERROR(VLOOKUP(Table6[[#This Row],[Affected WTG]],'Basic Data'!$A$3:$E$56,5,0),"")</f>
        <v>2.564102564102564E-2</v>
      </c>
      <c r="K555" s="121" t="s">
        <v>492</v>
      </c>
      <c r="L555" s="39" t="str">
        <f>IFERROR(VLOOKUP(Table6[[#This Row],[Error Code]],'Basic Data'!$T:$U,2,0),"")</f>
        <v>Manual Stop - Safety Related</v>
      </c>
      <c r="M555" s="364" t="s">
        <v>481</v>
      </c>
      <c r="O555" s="365">
        <v>0</v>
      </c>
      <c r="P555" s="365">
        <v>0.99930555555555556</v>
      </c>
      <c r="Q555" s="365">
        <v>0.99930555555555556</v>
      </c>
      <c r="R555" s="366">
        <f>IF(Table6[[#This Row],[Work Start TimeStamp]]="","",(Table6[[#This Row],[Work Start TimeStamp]]-Table6[[#This Row],[Fault Start TimeStamp]])*24)</f>
        <v>23.983333333333334</v>
      </c>
      <c r="S555" s="367">
        <f>(Table6[[#This Row],[Fault Clearance time]]-Table6[[#This Row],[Work Start TimeStamp]])*24</f>
        <v>0</v>
      </c>
      <c r="T555" s="368">
        <f>(Table6[[#This Row],[Fault Clearance time]]-Table6[[#This Row],[Fault Start TimeStamp]])*24</f>
        <v>23.983333333333334</v>
      </c>
      <c r="U555" s="364" t="s">
        <v>498</v>
      </c>
      <c r="V555" s="369" t="s">
        <v>473</v>
      </c>
      <c r="W555" s="354">
        <f>Table6[[#This Row],[Breakdown Time]]*(1/39)</f>
        <v>0.61495726495726499</v>
      </c>
      <c r="X555" s="352" t="s">
        <v>468</v>
      </c>
      <c r="Y555" s="370" t="s">
        <v>141</v>
      </c>
      <c r="Z555" s="121">
        <v>8165</v>
      </c>
      <c r="AA555" s="123">
        <v>8159.3298611111113</v>
      </c>
      <c r="AB555" s="121" t="s">
        <v>478</v>
      </c>
    </row>
    <row r="556" spans="1:28">
      <c r="A556" s="121">
        <f t="shared" si="8"/>
        <v>555</v>
      </c>
      <c r="B556" s="123">
        <f>YEAR(Table6[[#This Row],[Date]])+IF(MONTH(Table6[[#This Row],[Date]])&gt;=4,1,0)</f>
        <v>2026</v>
      </c>
      <c r="C556" s="121">
        <f>YEAR(Table6[[#This Row],[Date]])</f>
        <v>2025</v>
      </c>
      <c r="D556" s="121" t="s">
        <v>490</v>
      </c>
      <c r="E556" s="135">
        <f>Table6[[#This Row],[Date]]-DAY(Table6[[#This Row],[Date]])+1</f>
        <v>45778</v>
      </c>
      <c r="F556" s="134">
        <v>45793</v>
      </c>
      <c r="G556" s="121" t="s">
        <v>142</v>
      </c>
      <c r="H556" s="39" t="str">
        <f>_xlfn.XLOOKUP(Table6[[#This Row],[Affected WTG]],'Basic Data'!$A:$A,'Basic Data'!$B:$B)</f>
        <v>PWEGPL</v>
      </c>
      <c r="I556" s="39" t="str">
        <f>_xlfn.XLOOKUP(Table6[[#This Row],[Affected WTG]],'Basic Data'!$A:$A,'Basic Data'!$C:$C)</f>
        <v>MSEDCL</v>
      </c>
      <c r="J556" s="363">
        <f>IFERROR(VLOOKUP(Table6[[#This Row],[Affected WTG]],'Basic Data'!$A$3:$E$56,5,0),"")</f>
        <v>2.564102564102564E-2</v>
      </c>
      <c r="K556" s="121" t="s">
        <v>492</v>
      </c>
      <c r="L556" s="39" t="str">
        <f>IFERROR(VLOOKUP(Table6[[#This Row],[Error Code]],'Basic Data'!$T:$U,2,0),"")</f>
        <v>Manual Stop - Safety Related</v>
      </c>
      <c r="M556" s="364" t="s">
        <v>481</v>
      </c>
      <c r="O556" s="365">
        <v>0</v>
      </c>
      <c r="P556" s="365">
        <v>0.99930555555555556</v>
      </c>
      <c r="Q556" s="365">
        <v>0.99930555555555556</v>
      </c>
      <c r="R556" s="366">
        <f>IF(Table6[[#This Row],[Work Start TimeStamp]]="","",(Table6[[#This Row],[Work Start TimeStamp]]-Table6[[#This Row],[Fault Start TimeStamp]])*24)</f>
        <v>23.983333333333334</v>
      </c>
      <c r="S556" s="367">
        <f>(Table6[[#This Row],[Fault Clearance time]]-Table6[[#This Row],[Work Start TimeStamp]])*24</f>
        <v>0</v>
      </c>
      <c r="T556" s="368">
        <f>(Table6[[#This Row],[Fault Clearance time]]-Table6[[#This Row],[Fault Start TimeStamp]])*24</f>
        <v>23.983333333333334</v>
      </c>
      <c r="U556" s="364" t="s">
        <v>498</v>
      </c>
      <c r="V556" s="369" t="s">
        <v>473</v>
      </c>
      <c r="W556" s="354">
        <f>Table6[[#This Row],[Breakdown Time]]*(1/39)</f>
        <v>0.61495726495726499</v>
      </c>
      <c r="X556" s="352" t="s">
        <v>468</v>
      </c>
      <c r="Y556" s="370" t="s">
        <v>141</v>
      </c>
      <c r="Z556" s="121">
        <v>8165</v>
      </c>
      <c r="AA556" s="123">
        <v>8159.3298611111113</v>
      </c>
      <c r="AB556" s="121" t="s">
        <v>478</v>
      </c>
    </row>
    <row r="557" spans="1:28">
      <c r="A557" s="121">
        <f t="shared" si="8"/>
        <v>556</v>
      </c>
      <c r="B557" s="123">
        <f>YEAR(Table6[[#This Row],[Date]])+IF(MONTH(Table6[[#This Row],[Date]])&gt;=4,1,0)</f>
        <v>2026</v>
      </c>
      <c r="C557" s="121">
        <f>YEAR(Table6[[#This Row],[Date]])</f>
        <v>2025</v>
      </c>
      <c r="D557" s="121" t="s">
        <v>490</v>
      </c>
      <c r="E557" s="135">
        <f>Table6[[#This Row],[Date]]-DAY(Table6[[#This Row],[Date]])+1</f>
        <v>45778</v>
      </c>
      <c r="F557" s="134">
        <v>45793</v>
      </c>
      <c r="G557" s="121" t="s">
        <v>115</v>
      </c>
      <c r="H557" s="39" t="str">
        <f>_xlfn.XLOOKUP(Table6[[#This Row],[Affected WTG]],'Basic Data'!$A:$A,'Basic Data'!$B:$B)</f>
        <v>PWEGPL</v>
      </c>
      <c r="I557" s="39" t="str">
        <f>_xlfn.XLOOKUP(Table6[[#This Row],[Affected WTG]],'Basic Data'!$A:$A,'Basic Data'!$C:$C)</f>
        <v>MSEDCL</v>
      </c>
      <c r="J557" s="363">
        <f>IFERROR(VLOOKUP(Table6[[#This Row],[Affected WTG]],'Basic Data'!$A$3:$E$56,5,0),"")</f>
        <v>2.564102564102564E-2</v>
      </c>
      <c r="K557" s="121">
        <v>800</v>
      </c>
      <c r="L557" s="39" t="str">
        <f>IFERROR(VLOOKUP(Table6[[#This Row],[Error Code]],'Basic Data'!$T:$U,2,0),"")</f>
        <v>Pitch Drive Error</v>
      </c>
      <c r="M557" s="364" t="s">
        <v>462</v>
      </c>
      <c r="O557" s="365">
        <v>0.50069444444444444</v>
      </c>
      <c r="P557" s="365">
        <v>0.52430555555555558</v>
      </c>
      <c r="Q557" s="365">
        <v>0.63472222222222219</v>
      </c>
      <c r="R557" s="366">
        <f>IF(Table6[[#This Row],[Work Start TimeStamp]]="","",(Table6[[#This Row],[Work Start TimeStamp]]-Table6[[#This Row],[Fault Start TimeStamp]])*24)</f>
        <v>0.56666666666666732</v>
      </c>
      <c r="S557" s="367">
        <f>(Table6[[#This Row],[Fault Clearance time]]-Table6[[#This Row],[Work Start TimeStamp]])*24</f>
        <v>2.6499999999999986</v>
      </c>
      <c r="T557" s="368">
        <f>(Table6[[#This Row],[Fault Clearance time]]-Table6[[#This Row],[Fault Start TimeStamp]])*24</f>
        <v>3.2166666666666659</v>
      </c>
      <c r="U557" s="364" t="s">
        <v>606</v>
      </c>
      <c r="V557" s="369" t="s">
        <v>463</v>
      </c>
      <c r="W557" s="354">
        <f>Table6[[#This Row],[Breakdown Time]]*(1/39)</f>
        <v>8.2478632478632449E-2</v>
      </c>
      <c r="X557" s="352" t="s">
        <v>464</v>
      </c>
      <c r="Y557" s="370" t="s">
        <v>121</v>
      </c>
      <c r="Z557" s="121">
        <v>10576</v>
      </c>
      <c r="AA557" s="123">
        <v>1417.4777777777774</v>
      </c>
      <c r="AB557" s="121" t="s">
        <v>478</v>
      </c>
    </row>
    <row r="558" spans="1:28">
      <c r="A558" s="121">
        <f t="shared" si="8"/>
        <v>557</v>
      </c>
      <c r="B558" s="123">
        <f>YEAR(Table6[[#This Row],[Date]])+IF(MONTH(Table6[[#This Row],[Date]])&gt;=4,1,0)</f>
        <v>2026</v>
      </c>
      <c r="C558" s="121">
        <f>YEAR(Table6[[#This Row],[Date]])</f>
        <v>2025</v>
      </c>
      <c r="D558" s="121" t="s">
        <v>490</v>
      </c>
      <c r="E558" s="135">
        <f>Table6[[#This Row],[Date]]-DAY(Table6[[#This Row],[Date]])+1</f>
        <v>45778</v>
      </c>
      <c r="F558" s="134">
        <v>45793</v>
      </c>
      <c r="G558" s="121" t="s">
        <v>116</v>
      </c>
      <c r="H558" s="39" t="str">
        <f>_xlfn.XLOOKUP(Table6[[#This Row],[Affected WTG]],'Basic Data'!$A:$A,'Basic Data'!$B:$B)</f>
        <v>PWEGPL</v>
      </c>
      <c r="I558" s="39" t="str">
        <f>_xlfn.XLOOKUP(Table6[[#This Row],[Affected WTG]],'Basic Data'!$A:$A,'Basic Data'!$C:$C)</f>
        <v>MSEDCL</v>
      </c>
      <c r="J558" s="363">
        <f>IFERROR(VLOOKUP(Table6[[#This Row],[Affected WTG]],'Basic Data'!$A$3:$E$56,5,0),"")</f>
        <v>2.564102564102564E-2</v>
      </c>
      <c r="K558" s="121" t="s">
        <v>466</v>
      </c>
      <c r="L558" s="39" t="str">
        <f>IFERROR(VLOOKUP(Table6[[#This Row],[Error Code]],'Basic Data'!$T:$U,2,0),"")</f>
        <v>Manual Stop</v>
      </c>
      <c r="M558" s="364" t="s">
        <v>507</v>
      </c>
      <c r="O558" s="365">
        <v>0.52083333333333337</v>
      </c>
      <c r="P558" s="365">
        <v>0.52083333333333337</v>
      </c>
      <c r="Q558" s="365">
        <v>0.59027777777777779</v>
      </c>
      <c r="R558" s="366">
        <f>IF(Table6[[#This Row],[Work Start TimeStamp]]="","",(Table6[[#This Row],[Work Start TimeStamp]]-Table6[[#This Row],[Fault Start TimeStamp]])*24)</f>
        <v>0</v>
      </c>
      <c r="S558" s="367">
        <f>(Table6[[#This Row],[Fault Clearance time]]-Table6[[#This Row],[Work Start TimeStamp]])*24</f>
        <v>1.6666666666666661</v>
      </c>
      <c r="T558" s="368">
        <f>(Table6[[#This Row],[Fault Clearance time]]-Table6[[#This Row],[Fault Start TimeStamp]])*24</f>
        <v>1.6666666666666661</v>
      </c>
      <c r="U558" s="364" t="s">
        <v>607</v>
      </c>
      <c r="V558" s="369" t="s">
        <v>463</v>
      </c>
      <c r="W558" s="354">
        <f>Table6[[#This Row],[Breakdown Time]]*(1/39)</f>
        <v>4.2735042735042715E-2</v>
      </c>
      <c r="X558" s="352" t="s">
        <v>464</v>
      </c>
      <c r="Y558" s="370" t="s">
        <v>118</v>
      </c>
      <c r="Z558" s="121">
        <v>9888</v>
      </c>
      <c r="AA558" s="123">
        <v>686.6666666666664</v>
      </c>
      <c r="AB558" s="121" t="s">
        <v>478</v>
      </c>
    </row>
    <row r="559" spans="1:28">
      <c r="A559" s="121">
        <f t="shared" si="8"/>
        <v>558</v>
      </c>
      <c r="B559" s="123">
        <f>YEAR(Table6[[#This Row],[Date]])+IF(MONTH(Table6[[#This Row],[Date]])&gt;=4,1,0)</f>
        <v>2026</v>
      </c>
      <c r="C559" s="121">
        <f>YEAR(Table6[[#This Row],[Date]])</f>
        <v>2025</v>
      </c>
      <c r="D559" s="121" t="s">
        <v>490</v>
      </c>
      <c r="E559" s="135">
        <f>Table6[[#This Row],[Date]]-DAY(Table6[[#This Row],[Date]])+1</f>
        <v>45778</v>
      </c>
      <c r="F559" s="134">
        <v>45793</v>
      </c>
      <c r="G559" s="121" t="s">
        <v>118</v>
      </c>
      <c r="H559" s="39" t="str">
        <f>_xlfn.XLOOKUP(Table6[[#This Row],[Affected WTG]],'Basic Data'!$A:$A,'Basic Data'!$B:$B)</f>
        <v>PWEGPL</v>
      </c>
      <c r="I559" s="39" t="str">
        <f>_xlfn.XLOOKUP(Table6[[#This Row],[Affected WTG]],'Basic Data'!$A:$A,'Basic Data'!$C:$C)</f>
        <v>MSEDCL</v>
      </c>
      <c r="J559" s="363">
        <f>IFERROR(VLOOKUP(Table6[[#This Row],[Affected WTG]],'Basic Data'!$A$3:$E$56,5,0),"")</f>
        <v>2.564102564102564E-2</v>
      </c>
      <c r="K559" s="121">
        <v>222</v>
      </c>
      <c r="L559" s="39" t="str">
        <f>IFERROR(VLOOKUP(Table6[[#This Row],[Error Code]],'Basic Data'!$T:$U,2,0),"")</f>
        <v>Very Low Pressure On Hydraulic Unit</v>
      </c>
      <c r="M559" s="364" t="s">
        <v>462</v>
      </c>
      <c r="O559" s="365">
        <v>0.68125000000000002</v>
      </c>
      <c r="P559" s="365">
        <v>0.69513888888888886</v>
      </c>
      <c r="Q559" s="365">
        <v>0.77430555555555558</v>
      </c>
      <c r="R559" s="366">
        <f>IF(Table6[[#This Row],[Work Start TimeStamp]]="","",(Table6[[#This Row],[Work Start TimeStamp]]-Table6[[#This Row],[Fault Start TimeStamp]])*24)</f>
        <v>0.33333333333333215</v>
      </c>
      <c r="S559" s="367">
        <f>(Table6[[#This Row],[Fault Clearance time]]-Table6[[#This Row],[Work Start TimeStamp]])*24</f>
        <v>1.9000000000000012</v>
      </c>
      <c r="T559" s="368">
        <f>(Table6[[#This Row],[Fault Clearance time]]-Table6[[#This Row],[Fault Start TimeStamp]])*24</f>
        <v>2.2333333333333334</v>
      </c>
      <c r="U559" s="364" t="s">
        <v>608</v>
      </c>
      <c r="V559" s="369" t="s">
        <v>463</v>
      </c>
      <c r="W559" s="354">
        <f>Table6[[#This Row],[Breakdown Time]]*(1/39)</f>
        <v>5.7264957264957263E-2</v>
      </c>
      <c r="X559" s="352" t="s">
        <v>464</v>
      </c>
      <c r="Y559" s="370" t="s">
        <v>117</v>
      </c>
      <c r="Z559" s="121">
        <v>10542</v>
      </c>
      <c r="AA559" s="123">
        <v>980.99166666666667</v>
      </c>
      <c r="AB559" s="121" t="s">
        <v>478</v>
      </c>
    </row>
    <row r="560" spans="1:28">
      <c r="A560" s="121">
        <f t="shared" si="8"/>
        <v>559</v>
      </c>
      <c r="B560" s="123">
        <f>YEAR(Table6[[#This Row],[Date]])+IF(MONTH(Table6[[#This Row],[Date]])&gt;=4,1,0)</f>
        <v>2026</v>
      </c>
      <c r="C560" s="121">
        <f>YEAR(Table6[[#This Row],[Date]])</f>
        <v>2025</v>
      </c>
      <c r="D560" s="121" t="s">
        <v>490</v>
      </c>
      <c r="E560" s="135">
        <f>Table6[[#This Row],[Date]]-DAY(Table6[[#This Row],[Date]])+1</f>
        <v>45778</v>
      </c>
      <c r="F560" s="134">
        <v>45793</v>
      </c>
      <c r="G560" s="121" t="s">
        <v>120</v>
      </c>
      <c r="H560" s="39" t="str">
        <f>_xlfn.XLOOKUP(Table6[[#This Row],[Affected WTG]],'Basic Data'!$A:$A,'Basic Data'!$B:$B)</f>
        <v>PWEGPL</v>
      </c>
      <c r="I560" s="39" t="str">
        <f>_xlfn.XLOOKUP(Table6[[#This Row],[Affected WTG]],'Basic Data'!$A:$A,'Basic Data'!$C:$C)</f>
        <v>MSEDCL</v>
      </c>
      <c r="J560" s="363">
        <f>IFERROR(VLOOKUP(Table6[[#This Row],[Affected WTG]],'Basic Data'!$A$3:$E$56,5,0),"")</f>
        <v>2.564102564102564E-2</v>
      </c>
      <c r="K560" s="121">
        <v>2118</v>
      </c>
      <c r="L560" s="39" t="str">
        <f>IFERROR(VLOOKUP(Table6[[#This Row],[Error Code]],'Basic Data'!$T:$U,2,0),"")</f>
        <v>Bus Error - Interbus Failure</v>
      </c>
      <c r="M560" s="364" t="s">
        <v>462</v>
      </c>
      <c r="O560" s="365">
        <v>0.6875</v>
      </c>
      <c r="P560" s="365">
        <v>0.73958333333333337</v>
      </c>
      <c r="Q560" s="365">
        <v>0.74305555555555558</v>
      </c>
      <c r="R560" s="366">
        <f>IF(Table6[[#This Row],[Work Start TimeStamp]]="","",(Table6[[#This Row],[Work Start TimeStamp]]-Table6[[#This Row],[Fault Start TimeStamp]])*24)</f>
        <v>1.2500000000000009</v>
      </c>
      <c r="S560" s="367">
        <f>(Table6[[#This Row],[Fault Clearance time]]-Table6[[#This Row],[Work Start TimeStamp]])*24</f>
        <v>8.3333333333333037E-2</v>
      </c>
      <c r="T560" s="368">
        <f>(Table6[[#This Row],[Fault Clearance time]]-Table6[[#This Row],[Fault Start TimeStamp]])*24</f>
        <v>1.3333333333333339</v>
      </c>
      <c r="U560" s="364" t="s">
        <v>493</v>
      </c>
      <c r="V560" s="369" t="s">
        <v>463</v>
      </c>
      <c r="W560" s="354">
        <f>Table6[[#This Row],[Breakdown Time]]*(1/39)</f>
        <v>3.4188034188034205E-2</v>
      </c>
      <c r="X560" s="352" t="s">
        <v>465</v>
      </c>
      <c r="Y560" s="370" t="s">
        <v>117</v>
      </c>
      <c r="Z560" s="121">
        <v>10542</v>
      </c>
      <c r="AA560" s="123">
        <v>585.66666666666697</v>
      </c>
      <c r="AB560" s="121" t="s">
        <v>478</v>
      </c>
    </row>
    <row r="561" spans="1:28">
      <c r="A561" s="121">
        <f t="shared" si="8"/>
        <v>560</v>
      </c>
      <c r="B561" s="123">
        <f>YEAR(Table6[[#This Row],[Date]])+IF(MONTH(Table6[[#This Row],[Date]])&gt;=4,1,0)</f>
        <v>2026</v>
      </c>
      <c r="C561" s="121">
        <f>YEAR(Table6[[#This Row],[Date]])</f>
        <v>2025</v>
      </c>
      <c r="D561" s="121" t="s">
        <v>490</v>
      </c>
      <c r="E561" s="135">
        <f>Table6[[#This Row],[Date]]-DAY(Table6[[#This Row],[Date]])+1</f>
        <v>45778</v>
      </c>
      <c r="F561" s="134">
        <v>45793</v>
      </c>
      <c r="G561" s="121" t="s">
        <v>133</v>
      </c>
      <c r="H561" s="39" t="str">
        <f>_xlfn.XLOOKUP(Table6[[#This Row],[Affected WTG]],'Basic Data'!$A:$A,'Basic Data'!$B:$B)</f>
        <v>PWEGPL</v>
      </c>
      <c r="I561" s="39" t="str">
        <f>_xlfn.XLOOKUP(Table6[[#This Row],[Affected WTG]],'Basic Data'!$A:$A,'Basic Data'!$C:$C)</f>
        <v>MSEDCL</v>
      </c>
      <c r="J561" s="363">
        <f>IFERROR(VLOOKUP(Table6[[#This Row],[Affected WTG]],'Basic Data'!$A$3:$E$56,5,0),"")</f>
        <v>2.564102564102564E-2</v>
      </c>
      <c r="K561" s="121" t="s">
        <v>466</v>
      </c>
      <c r="L561" s="39" t="str">
        <f>IFERROR(VLOOKUP(Table6[[#This Row],[Error Code]],'Basic Data'!$T:$U,2,0),"")</f>
        <v>Manual Stop</v>
      </c>
      <c r="M561" s="364" t="s">
        <v>479</v>
      </c>
      <c r="O561" s="365">
        <v>0.4861111111111111</v>
      </c>
      <c r="P561" s="365">
        <v>0.4861111111111111</v>
      </c>
      <c r="Q561" s="365">
        <v>0.99930555555555556</v>
      </c>
      <c r="R561" s="366">
        <f>IF(Table6[[#This Row],[Work Start TimeStamp]]="","",(Table6[[#This Row],[Work Start TimeStamp]]-Table6[[#This Row],[Fault Start TimeStamp]])*24)</f>
        <v>0</v>
      </c>
      <c r="S561" s="367">
        <f>(Table6[[#This Row],[Fault Clearance time]]-Table6[[#This Row],[Work Start TimeStamp]])*24</f>
        <v>12.316666666666668</v>
      </c>
      <c r="T561" s="368">
        <f>(Table6[[#This Row],[Fault Clearance time]]-Table6[[#This Row],[Fault Start TimeStamp]])*24</f>
        <v>12.316666666666668</v>
      </c>
      <c r="U561" s="364" t="s">
        <v>609</v>
      </c>
      <c r="V561" s="369" t="s">
        <v>473</v>
      </c>
      <c r="W561" s="354">
        <f>Table6[[#This Row],[Breakdown Time]]*(1/39)</f>
        <v>0.31581196581196586</v>
      </c>
      <c r="X561" s="352" t="s">
        <v>465</v>
      </c>
      <c r="Y561" s="370" t="s">
        <v>132</v>
      </c>
      <c r="Z561" s="121">
        <v>9966</v>
      </c>
      <c r="AA561" s="123">
        <v>5114.4958333333343</v>
      </c>
      <c r="AB561" s="121" t="s">
        <v>478</v>
      </c>
    </row>
    <row r="562" spans="1:28">
      <c r="A562" s="121">
        <f t="shared" si="8"/>
        <v>561</v>
      </c>
      <c r="B562" s="123">
        <f>YEAR(Table6[[#This Row],[Date]])+IF(MONTH(Table6[[#This Row],[Date]])&gt;=4,1,0)</f>
        <v>2026</v>
      </c>
      <c r="C562" s="121">
        <f>YEAR(Table6[[#This Row],[Date]])</f>
        <v>2025</v>
      </c>
      <c r="D562" s="121" t="s">
        <v>490</v>
      </c>
      <c r="E562" s="135">
        <f>Table6[[#This Row],[Date]]-DAY(Table6[[#This Row],[Date]])+1</f>
        <v>45778</v>
      </c>
      <c r="F562" s="134">
        <v>45793</v>
      </c>
      <c r="G562" s="121" t="s">
        <v>153</v>
      </c>
      <c r="H562" s="39" t="str">
        <f>_xlfn.XLOOKUP(Table6[[#This Row],[Affected WTG]],'Basic Data'!$A:$A,'Basic Data'!$B:$B)</f>
        <v>PWEGPL</v>
      </c>
      <c r="I562" s="39" t="str">
        <f>_xlfn.XLOOKUP(Table6[[#This Row],[Affected WTG]],'Basic Data'!$A:$A,'Basic Data'!$C:$C)</f>
        <v>MSEDCL</v>
      </c>
      <c r="J562" s="363">
        <f>IFERROR(VLOOKUP(Table6[[#This Row],[Affected WTG]],'Basic Data'!$A$3:$E$56,5,0),"")</f>
        <v>2.564102564102564E-2</v>
      </c>
      <c r="K562" s="121" t="s">
        <v>476</v>
      </c>
      <c r="L562" s="39" t="str">
        <f>IFERROR(VLOOKUP(Table6[[#This Row],[Error Code]],'Basic Data'!$T:$U,2,0),"")</f>
        <v>Manual Stop - Preventive Maintenance Activity</v>
      </c>
      <c r="M562" s="364" t="s">
        <v>474</v>
      </c>
      <c r="O562" s="365">
        <v>0.49027777777777776</v>
      </c>
      <c r="P562" s="365">
        <v>0.49027777777777776</v>
      </c>
      <c r="Q562" s="365">
        <v>0.72777777777777775</v>
      </c>
      <c r="R562" s="366">
        <f>IF(Table6[[#This Row],[Work Start TimeStamp]]="","",(Table6[[#This Row],[Work Start TimeStamp]]-Table6[[#This Row],[Fault Start TimeStamp]])*24)</f>
        <v>0</v>
      </c>
      <c r="S562" s="367">
        <f>(Table6[[#This Row],[Fault Clearance time]]-Table6[[#This Row],[Work Start TimeStamp]])*24</f>
        <v>5.6999999999999993</v>
      </c>
      <c r="T562" s="368">
        <f>(Table6[[#This Row],[Fault Clearance time]]-Table6[[#This Row],[Fault Start TimeStamp]])*24</f>
        <v>5.6999999999999993</v>
      </c>
      <c r="U562" s="364" t="s">
        <v>582</v>
      </c>
      <c r="V562" s="369" t="s">
        <v>463</v>
      </c>
      <c r="W562" s="354">
        <f>Table6[[#This Row],[Breakdown Time]]*(1/39)</f>
        <v>0.14615384615384613</v>
      </c>
      <c r="X562" s="352" t="s">
        <v>467</v>
      </c>
      <c r="Y562" s="370" t="s">
        <v>152</v>
      </c>
      <c r="Z562" s="121">
        <v>7388</v>
      </c>
      <c r="AA562" s="123">
        <v>1754.6499999999996</v>
      </c>
      <c r="AB562" s="121" t="s">
        <v>478</v>
      </c>
    </row>
    <row r="563" spans="1:28">
      <c r="A563" s="121">
        <f t="shared" si="8"/>
        <v>562</v>
      </c>
      <c r="B563" s="123">
        <f>YEAR(Table6[[#This Row],[Date]])+IF(MONTH(Table6[[#This Row],[Date]])&gt;=4,1,0)</f>
        <v>2026</v>
      </c>
      <c r="C563" s="121">
        <f>YEAR(Table6[[#This Row],[Date]])</f>
        <v>2025</v>
      </c>
      <c r="D563" s="121" t="s">
        <v>490</v>
      </c>
      <c r="E563" s="135">
        <f>Table6[[#This Row],[Date]]-DAY(Table6[[#This Row],[Date]])+1</f>
        <v>45778</v>
      </c>
      <c r="F563" s="134">
        <v>45794</v>
      </c>
      <c r="G563" s="121" t="s">
        <v>144</v>
      </c>
      <c r="H563" s="39" t="str">
        <f>_xlfn.XLOOKUP(Table6[[#This Row],[Affected WTG]],'Basic Data'!$A:$A,'Basic Data'!$B:$B)</f>
        <v>PWEGPL</v>
      </c>
      <c r="I563" s="39" t="str">
        <f>_xlfn.XLOOKUP(Table6[[#This Row],[Affected WTG]],'Basic Data'!$A:$A,'Basic Data'!$C:$C)</f>
        <v>MSEDCL</v>
      </c>
      <c r="J563" s="363">
        <f>IFERROR(VLOOKUP(Table6[[#This Row],[Affected WTG]],'Basic Data'!$A$3:$E$56,5,0),"")</f>
        <v>2.564102564102564E-2</v>
      </c>
      <c r="K563" s="121" t="s">
        <v>492</v>
      </c>
      <c r="L563" s="39" t="str">
        <f>IFERROR(VLOOKUP(Table6[[#This Row],[Error Code]],'Basic Data'!$T:$U,2,0),"")</f>
        <v>Manual Stop - Safety Related</v>
      </c>
      <c r="M563" s="364" t="s">
        <v>481</v>
      </c>
      <c r="O563" s="365">
        <v>0</v>
      </c>
      <c r="P563" s="365">
        <v>0.99930555555555556</v>
      </c>
      <c r="Q563" s="365">
        <v>0.99930555555555556</v>
      </c>
      <c r="R563" s="366">
        <f>IF(Table6[[#This Row],[Work Start TimeStamp]]="","",(Table6[[#This Row],[Work Start TimeStamp]]-Table6[[#This Row],[Fault Start TimeStamp]])*24)</f>
        <v>23.983333333333334</v>
      </c>
      <c r="S563" s="367">
        <f>(Table6[[#This Row],[Fault Clearance time]]-Table6[[#This Row],[Work Start TimeStamp]])*24</f>
        <v>0</v>
      </c>
      <c r="T563" s="368">
        <f>(Table6[[#This Row],[Fault Clearance time]]-Table6[[#This Row],[Fault Start TimeStamp]])*24</f>
        <v>23.983333333333334</v>
      </c>
      <c r="U563" s="364" t="s">
        <v>498</v>
      </c>
      <c r="V563" s="369" t="s">
        <v>473</v>
      </c>
      <c r="W563" s="354">
        <f>Table6[[#This Row],[Breakdown Time]]*(1/39)</f>
        <v>0.61495726495726499</v>
      </c>
      <c r="X563" s="352" t="s">
        <v>468</v>
      </c>
      <c r="Y563" s="370" t="s">
        <v>141</v>
      </c>
      <c r="Z563" s="121">
        <v>4123</v>
      </c>
      <c r="AA563" s="123">
        <v>4120.1368055555558</v>
      </c>
      <c r="AB563" s="121" t="s">
        <v>478</v>
      </c>
    </row>
    <row r="564" spans="1:28">
      <c r="A564" s="121">
        <f t="shared" si="8"/>
        <v>563</v>
      </c>
      <c r="B564" s="123">
        <f>YEAR(Table6[[#This Row],[Date]])+IF(MONTH(Table6[[#This Row],[Date]])&gt;=4,1,0)</f>
        <v>2026</v>
      </c>
      <c r="C564" s="121">
        <f>YEAR(Table6[[#This Row],[Date]])</f>
        <v>2025</v>
      </c>
      <c r="D564" s="121" t="s">
        <v>490</v>
      </c>
      <c r="E564" s="135">
        <f>Table6[[#This Row],[Date]]-DAY(Table6[[#This Row],[Date]])+1</f>
        <v>45778</v>
      </c>
      <c r="F564" s="134">
        <v>45794</v>
      </c>
      <c r="G564" s="121" t="s">
        <v>142</v>
      </c>
      <c r="H564" s="39" t="str">
        <f>_xlfn.XLOOKUP(Table6[[#This Row],[Affected WTG]],'Basic Data'!$A:$A,'Basic Data'!$B:$B)</f>
        <v>PWEGPL</v>
      </c>
      <c r="I564" s="39" t="str">
        <f>_xlfn.XLOOKUP(Table6[[#This Row],[Affected WTG]],'Basic Data'!$A:$A,'Basic Data'!$C:$C)</f>
        <v>MSEDCL</v>
      </c>
      <c r="J564" s="363">
        <f>IFERROR(VLOOKUP(Table6[[#This Row],[Affected WTG]],'Basic Data'!$A$3:$E$56,5,0),"")</f>
        <v>2.564102564102564E-2</v>
      </c>
      <c r="K564" s="121" t="s">
        <v>492</v>
      </c>
      <c r="L564" s="39" t="str">
        <f>IFERROR(VLOOKUP(Table6[[#This Row],[Error Code]],'Basic Data'!$T:$U,2,0),"")</f>
        <v>Manual Stop - Safety Related</v>
      </c>
      <c r="M564" s="364" t="s">
        <v>481</v>
      </c>
      <c r="O564" s="365">
        <v>0</v>
      </c>
      <c r="P564" s="365">
        <v>0.99930555555555556</v>
      </c>
      <c r="Q564" s="365">
        <v>0.99930555555555556</v>
      </c>
      <c r="R564" s="366">
        <f>IF(Table6[[#This Row],[Work Start TimeStamp]]="","",(Table6[[#This Row],[Work Start TimeStamp]]-Table6[[#This Row],[Fault Start TimeStamp]])*24)</f>
        <v>23.983333333333334</v>
      </c>
      <c r="S564" s="367">
        <f>(Table6[[#This Row],[Fault Clearance time]]-Table6[[#This Row],[Work Start TimeStamp]])*24</f>
        <v>0</v>
      </c>
      <c r="T564" s="368">
        <f>(Table6[[#This Row],[Fault Clearance time]]-Table6[[#This Row],[Fault Start TimeStamp]])*24</f>
        <v>23.983333333333334</v>
      </c>
      <c r="U564" s="364" t="s">
        <v>498</v>
      </c>
      <c r="V564" s="369" t="s">
        <v>473</v>
      </c>
      <c r="W564" s="354">
        <f>Table6[[#This Row],[Breakdown Time]]*(1/39)</f>
        <v>0.61495726495726499</v>
      </c>
      <c r="X564" s="352" t="s">
        <v>468</v>
      </c>
      <c r="Y564" s="370" t="s">
        <v>141</v>
      </c>
      <c r="Z564" s="121">
        <v>4123</v>
      </c>
      <c r="AA564" s="123">
        <v>4120.1368055555558</v>
      </c>
      <c r="AB564" s="121" t="s">
        <v>478</v>
      </c>
    </row>
    <row r="565" spans="1:28">
      <c r="A565" s="121">
        <f t="shared" si="8"/>
        <v>564</v>
      </c>
      <c r="B565" s="123">
        <f>YEAR(Table6[[#This Row],[Date]])+IF(MONTH(Table6[[#This Row],[Date]])&gt;=4,1,0)</f>
        <v>2026</v>
      </c>
      <c r="C565" s="121">
        <f>YEAR(Table6[[#This Row],[Date]])</f>
        <v>2025</v>
      </c>
      <c r="D565" s="121" t="s">
        <v>490</v>
      </c>
      <c r="E565" s="135">
        <f>Table6[[#This Row],[Date]]-DAY(Table6[[#This Row],[Date]])+1</f>
        <v>45778</v>
      </c>
      <c r="F565" s="134">
        <v>45794</v>
      </c>
      <c r="G565" s="121" t="s">
        <v>120</v>
      </c>
      <c r="H565" s="39" t="str">
        <f>_xlfn.XLOOKUP(Table6[[#This Row],[Affected WTG]],'Basic Data'!$A:$A,'Basic Data'!$B:$B)</f>
        <v>PWEGPL</v>
      </c>
      <c r="I565" s="39" t="str">
        <f>_xlfn.XLOOKUP(Table6[[#This Row],[Affected WTG]],'Basic Data'!$A:$A,'Basic Data'!$C:$C)</f>
        <v>MSEDCL</v>
      </c>
      <c r="J565" s="363">
        <f>IFERROR(VLOOKUP(Table6[[#This Row],[Affected WTG]],'Basic Data'!$A$3:$E$56,5,0),"")</f>
        <v>2.564102564102564E-2</v>
      </c>
      <c r="K565" s="121" t="s">
        <v>487</v>
      </c>
      <c r="L565" s="39" t="str">
        <f>IFERROR(VLOOKUP(Table6[[#This Row],[Error Code]],'Basic Data'!$T:$U,2,0),"")</f>
        <v>General Work Stoppage</v>
      </c>
      <c r="M565" s="364" t="s">
        <v>479</v>
      </c>
      <c r="O565" s="365">
        <v>0.48125000000000001</v>
      </c>
      <c r="P565" s="365">
        <v>0.48125000000000001</v>
      </c>
      <c r="Q565" s="365">
        <v>0.61111111111111116</v>
      </c>
      <c r="R565" s="366">
        <f>IF(Table6[[#This Row],[Work Start TimeStamp]]="","",(Table6[[#This Row],[Work Start TimeStamp]]-Table6[[#This Row],[Fault Start TimeStamp]])*24)</f>
        <v>0</v>
      </c>
      <c r="S565" s="377">
        <f>(Table6[[#This Row],[Fault Clearance time]]-Table6[[#This Row],[Work Start TimeStamp]])*24</f>
        <v>3.1166666666666676</v>
      </c>
      <c r="T565" s="378">
        <f>(Table6[[#This Row],[Fault Clearance time]]-Table6[[#This Row],[Fault Start TimeStamp]])*24</f>
        <v>3.1166666666666676</v>
      </c>
      <c r="U565" s="364" t="s">
        <v>610</v>
      </c>
      <c r="V565" s="364" t="s">
        <v>463</v>
      </c>
      <c r="W565" s="354">
        <f>Table6[[#This Row],[Breakdown Time]]*(1/39)</f>
        <v>7.9914529914529936E-2</v>
      </c>
      <c r="X565" s="352" t="s">
        <v>464</v>
      </c>
      <c r="Y565" s="364" t="s">
        <v>117</v>
      </c>
      <c r="Z565" s="121">
        <v>5684</v>
      </c>
      <c r="AA565" s="123">
        <v>738.13055555555582</v>
      </c>
      <c r="AB565" s="121" t="s">
        <v>478</v>
      </c>
    </row>
    <row r="566" spans="1:28">
      <c r="A566" s="121">
        <f t="shared" si="8"/>
        <v>565</v>
      </c>
      <c r="B566" s="123">
        <f>YEAR(Table6[[#This Row],[Date]])+IF(MONTH(Table6[[#This Row],[Date]])&gt;=4,1,0)</f>
        <v>2026</v>
      </c>
      <c r="C566" s="121">
        <f>YEAR(Table6[[#This Row],[Date]])</f>
        <v>2025</v>
      </c>
      <c r="D566" s="121" t="s">
        <v>490</v>
      </c>
      <c r="E566" s="135">
        <f>Table6[[#This Row],[Date]]-DAY(Table6[[#This Row],[Date]])+1</f>
        <v>45778</v>
      </c>
      <c r="F566" s="134">
        <v>45794</v>
      </c>
      <c r="G566" s="121" t="s">
        <v>133</v>
      </c>
      <c r="H566" s="39" t="str">
        <f>_xlfn.XLOOKUP(Table6[[#This Row],[Affected WTG]],'Basic Data'!$A:$A,'Basic Data'!$B:$B)</f>
        <v>PWEGPL</v>
      </c>
      <c r="I566" s="39" t="str">
        <f>_xlfn.XLOOKUP(Table6[[#This Row],[Affected WTG]],'Basic Data'!$A:$A,'Basic Data'!$C:$C)</f>
        <v>MSEDCL</v>
      </c>
      <c r="J566" s="363">
        <f>IFERROR(VLOOKUP(Table6[[#This Row],[Affected WTG]],'Basic Data'!$A$3:$E$56,5,0),"")</f>
        <v>2.564102564102564E-2</v>
      </c>
      <c r="K566" s="121" t="s">
        <v>466</v>
      </c>
      <c r="L566" s="39" t="str">
        <f>IFERROR(VLOOKUP(Table6[[#This Row],[Error Code]],'Basic Data'!$T:$U,2,0),"")</f>
        <v>Manual Stop</v>
      </c>
      <c r="M566" s="364" t="s">
        <v>479</v>
      </c>
      <c r="O566" s="365">
        <v>0</v>
      </c>
      <c r="P566" s="365">
        <v>0</v>
      </c>
      <c r="Q566" s="365">
        <v>0.94791666666666663</v>
      </c>
      <c r="R566" s="366">
        <f>IF(Table6[[#This Row],[Work Start TimeStamp]]="","",(Table6[[#This Row],[Work Start TimeStamp]]-Table6[[#This Row],[Fault Start TimeStamp]])*24)</f>
        <v>0</v>
      </c>
      <c r="S566" s="377">
        <f>(Table6[[#This Row],[Fault Clearance time]]-Table6[[#This Row],[Work Start TimeStamp]])*24</f>
        <v>22.75</v>
      </c>
      <c r="T566" s="378">
        <f>(Table6[[#This Row],[Fault Clearance time]]-Table6[[#This Row],[Fault Start TimeStamp]])*24</f>
        <v>22.75</v>
      </c>
      <c r="U566" s="364" t="s">
        <v>611</v>
      </c>
      <c r="V566" s="364" t="s">
        <v>463</v>
      </c>
      <c r="W566" s="354">
        <f>Table6[[#This Row],[Breakdown Time]]*(1/39)</f>
        <v>0.58333333333333326</v>
      </c>
      <c r="X566" s="352" t="s">
        <v>464</v>
      </c>
      <c r="Y566" s="364" t="s">
        <v>132</v>
      </c>
      <c r="Z566" s="121">
        <v>6475</v>
      </c>
      <c r="AA566" s="123">
        <v>6137.760416666667</v>
      </c>
      <c r="AB566" s="121" t="s">
        <v>478</v>
      </c>
    </row>
    <row r="567" spans="1:28">
      <c r="A567" s="121">
        <f t="shared" si="8"/>
        <v>566</v>
      </c>
      <c r="B567" s="123">
        <f>YEAR(Table6[[#This Row],[Date]])+IF(MONTH(Table6[[#This Row],[Date]])&gt;=4,1,0)</f>
        <v>2026</v>
      </c>
      <c r="C567" s="121">
        <f>YEAR(Table6[[#This Row],[Date]])</f>
        <v>2025</v>
      </c>
      <c r="D567" s="121" t="s">
        <v>490</v>
      </c>
      <c r="E567" s="135">
        <f>Table6[[#This Row],[Date]]-DAY(Table6[[#This Row],[Date]])+1</f>
        <v>45778</v>
      </c>
      <c r="F567" s="134">
        <v>45794</v>
      </c>
      <c r="G567" s="121" t="s">
        <v>139</v>
      </c>
      <c r="H567" s="39" t="str">
        <f>_xlfn.XLOOKUP(Table6[[#This Row],[Affected WTG]],'Basic Data'!$A:$A,'Basic Data'!$B:$B)</f>
        <v>PWEGPL</v>
      </c>
      <c r="I567" s="39" t="str">
        <f>_xlfn.XLOOKUP(Table6[[#This Row],[Affected WTG]],'Basic Data'!$A:$A,'Basic Data'!$C:$C)</f>
        <v>MSEDCL</v>
      </c>
      <c r="J567" s="363">
        <f>IFERROR(VLOOKUP(Table6[[#This Row],[Affected WTG]],'Basic Data'!$A$3:$E$56,5,0),"")</f>
        <v>2.564102564102564E-2</v>
      </c>
      <c r="K567" s="121" t="s">
        <v>476</v>
      </c>
      <c r="L567" s="39" t="str">
        <f>IFERROR(VLOOKUP(Table6[[#This Row],[Error Code]],'Basic Data'!$T:$U,2,0),"")</f>
        <v>Manual Stop - Preventive Maintenance Activity</v>
      </c>
      <c r="M567" s="364" t="s">
        <v>474</v>
      </c>
      <c r="O567" s="365">
        <v>0.51111111111111107</v>
      </c>
      <c r="P567" s="365">
        <v>0.51111111111111107</v>
      </c>
      <c r="Q567" s="365">
        <v>0.82361111111111107</v>
      </c>
      <c r="R567" s="366">
        <f>IF(Table6[[#This Row],[Work Start TimeStamp]]="","",(Table6[[#This Row],[Work Start TimeStamp]]-Table6[[#This Row],[Fault Start TimeStamp]])*24)</f>
        <v>0</v>
      </c>
      <c r="S567" s="367">
        <f>(Table6[[#This Row],[Fault Clearance time]]-Table6[[#This Row],[Work Start TimeStamp]])*24</f>
        <v>7.5</v>
      </c>
      <c r="T567" s="368">
        <f>(Table6[[#This Row],[Fault Clearance time]]-Table6[[#This Row],[Fault Start TimeStamp]])*24</f>
        <v>7.5</v>
      </c>
      <c r="U567" s="364" t="s">
        <v>582</v>
      </c>
      <c r="V567" s="364" t="s">
        <v>463</v>
      </c>
      <c r="W567" s="354">
        <f>Table6[[#This Row],[Breakdown Time]]*(1/39)</f>
        <v>0.19230769230769229</v>
      </c>
      <c r="X567" s="352" t="s">
        <v>467</v>
      </c>
      <c r="Y567" s="364" t="s">
        <v>145</v>
      </c>
      <c r="Z567" s="121">
        <v>3521</v>
      </c>
      <c r="AA567" s="123">
        <v>1100.3125</v>
      </c>
      <c r="AB567" s="121" t="s">
        <v>478</v>
      </c>
    </row>
    <row r="568" spans="1:28">
      <c r="A568" s="121">
        <f t="shared" si="8"/>
        <v>567</v>
      </c>
      <c r="B568" s="123">
        <f>YEAR(Table6[[#This Row],[Date]])+IF(MONTH(Table6[[#This Row],[Date]])&gt;=4,1,0)</f>
        <v>2026</v>
      </c>
      <c r="C568" s="121">
        <f>YEAR(Table6[[#This Row],[Date]])</f>
        <v>2025</v>
      </c>
      <c r="D568" s="121" t="s">
        <v>490</v>
      </c>
      <c r="E568" s="135">
        <f>Table6[[#This Row],[Date]]-DAY(Table6[[#This Row],[Date]])+1</f>
        <v>45778</v>
      </c>
      <c r="F568" s="134">
        <v>45794</v>
      </c>
      <c r="G568" s="121" t="s">
        <v>116</v>
      </c>
      <c r="H568" s="39" t="str">
        <f>_xlfn.XLOOKUP(Table6[[#This Row],[Affected WTG]],'Basic Data'!$A:$A,'Basic Data'!$B:$B)</f>
        <v>PWEGPL</v>
      </c>
      <c r="I568" s="39" t="str">
        <f>_xlfn.XLOOKUP(Table6[[#This Row],[Affected WTG]],'Basic Data'!$A:$A,'Basic Data'!$C:$C)</f>
        <v>MSEDCL</v>
      </c>
      <c r="J568" s="363">
        <f>IFERROR(VLOOKUP(Table6[[#This Row],[Affected WTG]],'Basic Data'!$A$3:$E$56,5,0),"")</f>
        <v>2.564102564102564E-2</v>
      </c>
      <c r="K568" s="121">
        <v>5225</v>
      </c>
      <c r="L568" s="39" t="str">
        <f>IFERROR(VLOOKUP(Table6[[#This Row],[Error Code]],'Basic Data'!$T:$U,2,0),"")</f>
        <v>Fault In Analog Electronic Power Supply</v>
      </c>
      <c r="M568" s="364" t="s">
        <v>462</v>
      </c>
      <c r="O568" s="365">
        <v>0.6166666666666667</v>
      </c>
      <c r="P568" s="365">
        <v>0.63888888888888884</v>
      </c>
      <c r="Q568" s="365">
        <v>0.64027777777777772</v>
      </c>
      <c r="R568" s="366">
        <f>IF(Table6[[#This Row],[Work Start TimeStamp]]="","",(Table6[[#This Row],[Work Start TimeStamp]]-Table6[[#This Row],[Fault Start TimeStamp]])*24)</f>
        <v>0.53333333333333144</v>
      </c>
      <c r="S568" s="377">
        <f>(Table6[[#This Row],[Fault Clearance time]]-Table6[[#This Row],[Work Start TimeStamp]])*24</f>
        <v>3.3333333333333215E-2</v>
      </c>
      <c r="T568" s="378">
        <f>(Table6[[#This Row],[Fault Clearance time]]-Table6[[#This Row],[Fault Start TimeStamp]])*24</f>
        <v>0.56666666666666465</v>
      </c>
      <c r="U568" s="364" t="s">
        <v>493</v>
      </c>
      <c r="V568" s="364" t="s">
        <v>463</v>
      </c>
      <c r="W568" s="354">
        <f>Table6[[#This Row],[Breakdown Time]]*(1/39)</f>
        <v>1.4529914529914478E-2</v>
      </c>
      <c r="X568" s="352" t="s">
        <v>465</v>
      </c>
      <c r="Y568" s="364" t="s">
        <v>118</v>
      </c>
      <c r="Z568" s="121">
        <v>5681</v>
      </c>
      <c r="AA568" s="123">
        <v>134.13472222222174</v>
      </c>
      <c r="AB568" s="121" t="s">
        <v>478</v>
      </c>
    </row>
    <row r="569" spans="1:28">
      <c r="A569" s="121">
        <f t="shared" si="8"/>
        <v>568</v>
      </c>
      <c r="B569" s="123">
        <f>YEAR(Table6[[#This Row],[Date]])+IF(MONTH(Table6[[#This Row],[Date]])&gt;=4,1,0)</f>
        <v>2026</v>
      </c>
      <c r="C569" s="121">
        <f>YEAR(Table6[[#This Row],[Date]])</f>
        <v>2025</v>
      </c>
      <c r="D569" s="121" t="s">
        <v>490</v>
      </c>
      <c r="E569" s="135">
        <f>Table6[[#This Row],[Date]]-DAY(Table6[[#This Row],[Date]])+1</f>
        <v>45778</v>
      </c>
      <c r="F569" s="134">
        <v>45794</v>
      </c>
      <c r="G569" s="121" t="s">
        <v>121</v>
      </c>
      <c r="H569" s="39" t="str">
        <f>_xlfn.XLOOKUP(Table6[[#This Row],[Affected WTG]],'Basic Data'!$A:$A,'Basic Data'!$B:$B)</f>
        <v>PWEGPL</v>
      </c>
      <c r="I569" s="39" t="str">
        <f>_xlfn.XLOOKUP(Table6[[#This Row],[Affected WTG]],'Basic Data'!$A:$A,'Basic Data'!$C:$C)</f>
        <v>MSEDCL</v>
      </c>
      <c r="J569" s="363">
        <f>IFERROR(VLOOKUP(Table6[[#This Row],[Affected WTG]],'Basic Data'!$A$3:$E$56,5,0),"")</f>
        <v>2.564102564102564E-2</v>
      </c>
      <c r="K569" s="121">
        <v>5225</v>
      </c>
      <c r="L569" s="39" t="str">
        <f>IFERROR(VLOOKUP(Table6[[#This Row],[Error Code]],'Basic Data'!$T:$U,2,0),"")</f>
        <v>Fault In Analog Electronic Power Supply</v>
      </c>
      <c r="M569" s="364" t="s">
        <v>462</v>
      </c>
      <c r="O569" s="365">
        <v>0.6166666666666667</v>
      </c>
      <c r="P569" s="365">
        <v>0.65069444444444446</v>
      </c>
      <c r="Q569" s="365">
        <v>0.65208333333333335</v>
      </c>
      <c r="R569" s="366">
        <f>IF(Table6[[#This Row],[Work Start TimeStamp]]="","",(Table6[[#This Row],[Work Start TimeStamp]]-Table6[[#This Row],[Fault Start TimeStamp]])*24)</f>
        <v>0.81666666666666643</v>
      </c>
      <c r="S569" s="377">
        <f>(Table6[[#This Row],[Fault Clearance time]]-Table6[[#This Row],[Work Start TimeStamp]])*24</f>
        <v>3.3333333333333215E-2</v>
      </c>
      <c r="T569" s="378">
        <f>(Table6[[#This Row],[Fault Clearance time]]-Table6[[#This Row],[Fault Start TimeStamp]])*24</f>
        <v>0.84999999999999964</v>
      </c>
      <c r="U569" s="364" t="s">
        <v>493</v>
      </c>
      <c r="V569" s="364" t="s">
        <v>463</v>
      </c>
      <c r="W569" s="354">
        <f>Table6[[#This Row],[Breakdown Time]]*(1/39)</f>
        <v>2.1794871794871783E-2</v>
      </c>
      <c r="X569" s="352" t="s">
        <v>465</v>
      </c>
      <c r="Y569" s="364" t="s">
        <v>115</v>
      </c>
      <c r="Z569" s="121">
        <v>5673</v>
      </c>
      <c r="AA569" s="123">
        <v>200.9187499999999</v>
      </c>
      <c r="AB569" s="121" t="s">
        <v>478</v>
      </c>
    </row>
    <row r="570" spans="1:28">
      <c r="A570" s="121">
        <f t="shared" si="8"/>
        <v>569</v>
      </c>
      <c r="B570" s="123">
        <f>YEAR(Table6[[#This Row],[Date]])+IF(MONTH(Table6[[#This Row],[Date]])&gt;=4,1,0)</f>
        <v>2026</v>
      </c>
      <c r="C570" s="121">
        <f>YEAR(Table6[[#This Row],[Date]])</f>
        <v>2025</v>
      </c>
      <c r="D570" s="121" t="s">
        <v>490</v>
      </c>
      <c r="E570" s="135">
        <f>Table6[[#This Row],[Date]]-DAY(Table6[[#This Row],[Date]])+1</f>
        <v>45778</v>
      </c>
      <c r="F570" s="134">
        <v>45795</v>
      </c>
      <c r="G570" s="121" t="s">
        <v>144</v>
      </c>
      <c r="H570" s="39" t="str">
        <f>_xlfn.XLOOKUP(Table6[[#This Row],[Affected WTG]],'Basic Data'!$A:$A,'Basic Data'!$B:$B)</f>
        <v>PWEGPL</v>
      </c>
      <c r="I570" s="39" t="str">
        <f>_xlfn.XLOOKUP(Table6[[#This Row],[Affected WTG]],'Basic Data'!$A:$A,'Basic Data'!$C:$C)</f>
        <v>MSEDCL</v>
      </c>
      <c r="J570" s="363">
        <f>IFERROR(VLOOKUP(Table6[[#This Row],[Affected WTG]],'Basic Data'!$A$3:$E$56,5,0),"")</f>
        <v>2.564102564102564E-2</v>
      </c>
      <c r="K570" s="121" t="s">
        <v>492</v>
      </c>
      <c r="L570" s="39" t="str">
        <f>IFERROR(VLOOKUP(Table6[[#This Row],[Error Code]],'Basic Data'!$T:$U,2,0),"")</f>
        <v>Manual Stop - Safety Related</v>
      </c>
      <c r="M570" s="364" t="s">
        <v>481</v>
      </c>
      <c r="O570" s="365">
        <v>0</v>
      </c>
      <c r="P570" s="365">
        <v>0.99930555555555556</v>
      </c>
      <c r="Q570" s="365">
        <v>0.99930555555555556</v>
      </c>
      <c r="R570" s="366">
        <f>IF(Table6[[#This Row],[Work Start TimeStamp]]="","",(Table6[[#This Row],[Work Start TimeStamp]]-Table6[[#This Row],[Fault Start TimeStamp]])*24)</f>
        <v>23.983333333333334</v>
      </c>
      <c r="S570" s="377">
        <f>(Table6[[#This Row],[Fault Clearance time]]-Table6[[#This Row],[Work Start TimeStamp]])*24</f>
        <v>0</v>
      </c>
      <c r="T570" s="378">
        <f>(Table6[[#This Row],[Fault Clearance time]]-Table6[[#This Row],[Fault Start TimeStamp]])*24</f>
        <v>23.983333333333334</v>
      </c>
      <c r="U570" s="364" t="s">
        <v>498</v>
      </c>
      <c r="V570" s="364" t="s">
        <v>473</v>
      </c>
      <c r="W570" s="354">
        <f>Table6[[#This Row],[Breakdown Time]]*(1/39)</f>
        <v>0.61495726495726499</v>
      </c>
      <c r="X570" s="352" t="s">
        <v>468</v>
      </c>
      <c r="Y570" s="364" t="s">
        <v>141</v>
      </c>
      <c r="Z570" s="121">
        <v>3543</v>
      </c>
      <c r="AA570" s="123">
        <v>3540.5395833333337</v>
      </c>
      <c r="AB570" s="121" t="s">
        <v>478</v>
      </c>
    </row>
    <row r="571" spans="1:28">
      <c r="A571" s="121">
        <f t="shared" si="8"/>
        <v>570</v>
      </c>
      <c r="B571" s="123">
        <f>YEAR(Table6[[#This Row],[Date]])+IF(MONTH(Table6[[#This Row],[Date]])&gt;=4,1,0)</f>
        <v>2026</v>
      </c>
      <c r="C571" s="121">
        <f>YEAR(Table6[[#This Row],[Date]])</f>
        <v>2025</v>
      </c>
      <c r="D571" s="121" t="s">
        <v>490</v>
      </c>
      <c r="E571" s="135">
        <f>Table6[[#This Row],[Date]]-DAY(Table6[[#This Row],[Date]])+1</f>
        <v>45778</v>
      </c>
      <c r="F571" s="134">
        <v>45795</v>
      </c>
      <c r="G571" s="121" t="s">
        <v>142</v>
      </c>
      <c r="H571" s="39" t="str">
        <f>_xlfn.XLOOKUP(Table6[[#This Row],[Affected WTG]],'Basic Data'!$A:$A,'Basic Data'!$B:$B)</f>
        <v>PWEGPL</v>
      </c>
      <c r="I571" s="39" t="str">
        <f>_xlfn.XLOOKUP(Table6[[#This Row],[Affected WTG]],'Basic Data'!$A:$A,'Basic Data'!$C:$C)</f>
        <v>MSEDCL</v>
      </c>
      <c r="J571" s="363">
        <f>IFERROR(VLOOKUP(Table6[[#This Row],[Affected WTG]],'Basic Data'!$A$3:$E$56,5,0),"")</f>
        <v>2.564102564102564E-2</v>
      </c>
      <c r="K571" s="121" t="s">
        <v>492</v>
      </c>
      <c r="L571" s="39" t="str">
        <f>IFERROR(VLOOKUP(Table6[[#This Row],[Error Code]],'Basic Data'!$T:$U,2,0),"")</f>
        <v>Manual Stop - Safety Related</v>
      </c>
      <c r="M571" s="364" t="s">
        <v>481</v>
      </c>
      <c r="O571" s="365">
        <v>0</v>
      </c>
      <c r="P571" s="365">
        <v>0.99930555555555556</v>
      </c>
      <c r="Q571" s="365">
        <v>0.99930555555555556</v>
      </c>
      <c r="R571" s="366">
        <f>IF(Table6[[#This Row],[Work Start TimeStamp]]="","",(Table6[[#This Row],[Work Start TimeStamp]]-Table6[[#This Row],[Fault Start TimeStamp]])*24)</f>
        <v>23.983333333333334</v>
      </c>
      <c r="S571" s="377">
        <f>(Table6[[#This Row],[Fault Clearance time]]-Table6[[#This Row],[Work Start TimeStamp]])*24</f>
        <v>0</v>
      </c>
      <c r="T571" s="378">
        <f>(Table6[[#This Row],[Fault Clearance time]]-Table6[[#This Row],[Fault Start TimeStamp]])*24</f>
        <v>23.983333333333334</v>
      </c>
      <c r="U571" s="364" t="s">
        <v>498</v>
      </c>
      <c r="V571" s="364" t="s">
        <v>473</v>
      </c>
      <c r="W571" s="354">
        <f>Table6[[#This Row],[Breakdown Time]]*(1/39)</f>
        <v>0.61495726495726499</v>
      </c>
      <c r="X571" s="352" t="s">
        <v>468</v>
      </c>
      <c r="Y571" s="364" t="s">
        <v>141</v>
      </c>
      <c r="Z571" s="121">
        <v>3572</v>
      </c>
      <c r="AA571" s="123">
        <v>3569.5194444444446</v>
      </c>
      <c r="AB571" s="121" t="s">
        <v>478</v>
      </c>
    </row>
    <row r="572" spans="1:28">
      <c r="A572" s="121">
        <f t="shared" si="8"/>
        <v>571</v>
      </c>
      <c r="B572" s="123">
        <f>YEAR(Table6[[#This Row],[Date]])+IF(MONTH(Table6[[#This Row],[Date]])&gt;=4,1,0)</f>
        <v>2026</v>
      </c>
      <c r="C572" s="121">
        <f>YEAR(Table6[[#This Row],[Date]])</f>
        <v>2025</v>
      </c>
      <c r="D572" s="121" t="s">
        <v>490</v>
      </c>
      <c r="E572" s="135">
        <f>Table6[[#This Row],[Date]]-DAY(Table6[[#This Row],[Date]])+1</f>
        <v>45778</v>
      </c>
      <c r="F572" s="134">
        <v>45795</v>
      </c>
      <c r="G572" s="121" t="s">
        <v>115</v>
      </c>
      <c r="H572" s="39" t="str">
        <f>_xlfn.XLOOKUP(Table6[[#This Row],[Affected WTG]],'Basic Data'!$A:$A,'Basic Data'!$B:$B)</f>
        <v>PWEGPL</v>
      </c>
      <c r="I572" s="39" t="str">
        <f>_xlfn.XLOOKUP(Table6[[#This Row],[Affected WTG]],'Basic Data'!$A:$A,'Basic Data'!$C:$C)</f>
        <v>MSEDCL</v>
      </c>
      <c r="J572" s="363">
        <f>IFERROR(VLOOKUP(Table6[[#This Row],[Affected WTG]],'Basic Data'!$A$3:$E$56,5,0),"")</f>
        <v>2.564102564102564E-2</v>
      </c>
      <c r="K572" s="121">
        <v>2118</v>
      </c>
      <c r="L572" s="39" t="str">
        <f>IFERROR(VLOOKUP(Table6[[#This Row],[Error Code]],'Basic Data'!$T:$U,2,0),"")</f>
        <v>Bus Error - Interbus Failure</v>
      </c>
      <c r="M572" s="364" t="s">
        <v>462</v>
      </c>
      <c r="O572" s="365">
        <v>0.53819444444444442</v>
      </c>
      <c r="P572" s="365">
        <v>0.55347222222222225</v>
      </c>
      <c r="Q572" s="365">
        <v>0.58680555555555558</v>
      </c>
      <c r="R572" s="366">
        <f>IF(Table6[[#This Row],[Work Start TimeStamp]]="","",(Table6[[#This Row],[Work Start TimeStamp]]-Table6[[#This Row],[Fault Start TimeStamp]])*24)</f>
        <v>0.36666666666666803</v>
      </c>
      <c r="S572" s="377">
        <f>(Table6[[#This Row],[Fault Clearance time]]-Table6[[#This Row],[Work Start TimeStamp]])*24</f>
        <v>0.79999999999999982</v>
      </c>
      <c r="T572" s="378">
        <f>(Table6[[#This Row],[Fault Clearance time]]-Table6[[#This Row],[Fault Start TimeStamp]])*24</f>
        <v>1.1666666666666679</v>
      </c>
      <c r="U572" s="364" t="s">
        <v>612</v>
      </c>
      <c r="V572" s="364" t="s">
        <v>463</v>
      </c>
      <c r="W572" s="354">
        <f>Table6[[#This Row],[Breakdown Time]]*(1/39)</f>
        <v>2.9914529914529944E-2</v>
      </c>
      <c r="X572" s="352" t="s">
        <v>465</v>
      </c>
      <c r="Y572" s="364" t="s">
        <v>121</v>
      </c>
      <c r="Z572" s="121">
        <v>3537</v>
      </c>
      <c r="AA572" s="123">
        <v>171.93750000000017</v>
      </c>
      <c r="AB572" s="121" t="s">
        <v>478</v>
      </c>
    </row>
    <row r="573" spans="1:28">
      <c r="A573" s="121">
        <f t="shared" si="8"/>
        <v>572</v>
      </c>
      <c r="B573" s="123">
        <f>YEAR(Table6[[#This Row],[Date]])+IF(MONTH(Table6[[#This Row],[Date]])&gt;=4,1,0)</f>
        <v>2026</v>
      </c>
      <c r="C573" s="121">
        <f>YEAR(Table6[[#This Row],[Date]])</f>
        <v>2025</v>
      </c>
      <c r="D573" s="121" t="s">
        <v>490</v>
      </c>
      <c r="E573" s="135">
        <f>Table6[[#This Row],[Date]]-DAY(Table6[[#This Row],[Date]])+1</f>
        <v>45778</v>
      </c>
      <c r="F573" s="134">
        <v>45795</v>
      </c>
      <c r="G573" s="121" t="s">
        <v>145</v>
      </c>
      <c r="H573" s="39" t="str">
        <f>_xlfn.XLOOKUP(Table6[[#This Row],[Affected WTG]],'Basic Data'!$A:$A,'Basic Data'!$B:$B)</f>
        <v>PWEGPL</v>
      </c>
      <c r="I573" s="39" t="str">
        <f>_xlfn.XLOOKUP(Table6[[#This Row],[Affected WTG]],'Basic Data'!$A:$A,'Basic Data'!$C:$C)</f>
        <v>MSEDCL</v>
      </c>
      <c r="J573" s="363">
        <f>IFERROR(VLOOKUP(Table6[[#This Row],[Affected WTG]],'Basic Data'!$A$3:$E$56,5,0),"")</f>
        <v>2.564102564102564E-2</v>
      </c>
      <c r="K573" s="121" t="s">
        <v>476</v>
      </c>
      <c r="L573" s="39" t="str">
        <f>IFERROR(VLOOKUP(Table6[[#This Row],[Error Code]],'Basic Data'!$T:$U,2,0),"")</f>
        <v>Manual Stop - Preventive Maintenance Activity</v>
      </c>
      <c r="M573" s="364" t="s">
        <v>474</v>
      </c>
      <c r="O573" s="365">
        <v>0.5180555555555556</v>
      </c>
      <c r="P573" s="365">
        <v>0.5180555555555556</v>
      </c>
      <c r="Q573" s="365">
        <v>0.75208333333333333</v>
      </c>
      <c r="R573" s="366">
        <f>IF(Table6[[#This Row],[Work Start TimeStamp]]="","",(Table6[[#This Row],[Work Start TimeStamp]]-Table6[[#This Row],[Fault Start TimeStamp]])*24)</f>
        <v>0</v>
      </c>
      <c r="S573" s="367">
        <f>(Table6[[#This Row],[Fault Clearance time]]-Table6[[#This Row],[Work Start TimeStamp]])*24</f>
        <v>5.6166666666666654</v>
      </c>
      <c r="T573" s="368">
        <f>(Table6[[#This Row],[Fault Clearance time]]-Table6[[#This Row],[Fault Start TimeStamp]])*24</f>
        <v>5.6166666666666654</v>
      </c>
      <c r="U573" s="364" t="s">
        <v>582</v>
      </c>
      <c r="V573" s="364" t="s">
        <v>463</v>
      </c>
      <c r="W573" s="354">
        <f>Table6[[#This Row],[Breakdown Time]]*(1/39)</f>
        <v>0.14401709401709398</v>
      </c>
      <c r="X573" s="352" t="s">
        <v>467</v>
      </c>
      <c r="Y573" s="364" t="s">
        <v>139</v>
      </c>
      <c r="Z573" s="121">
        <v>3162</v>
      </c>
      <c r="AA573" s="123">
        <v>739.99583333333317</v>
      </c>
      <c r="AB573" s="121" t="s">
        <v>478</v>
      </c>
    </row>
    <row r="574" spans="1:28">
      <c r="A574" s="121">
        <f t="shared" si="8"/>
        <v>573</v>
      </c>
      <c r="B574" s="123">
        <f>YEAR(Table6[[#This Row],[Date]])+IF(MONTH(Table6[[#This Row],[Date]])&gt;=4,1,0)</f>
        <v>2026</v>
      </c>
      <c r="C574" s="121">
        <f>YEAR(Table6[[#This Row],[Date]])</f>
        <v>2025</v>
      </c>
      <c r="D574" s="121" t="s">
        <v>490</v>
      </c>
      <c r="E574" s="135">
        <f>Table6[[#This Row],[Date]]-DAY(Table6[[#This Row],[Date]])+1</f>
        <v>45778</v>
      </c>
      <c r="F574" s="134">
        <v>45795</v>
      </c>
      <c r="G574" s="121" t="s">
        <v>146</v>
      </c>
      <c r="H574" s="39" t="str">
        <f>_xlfn.XLOOKUP(Table6[[#This Row],[Affected WTG]],'Basic Data'!$A:$A,'Basic Data'!$B:$B)</f>
        <v>PWEGPL</v>
      </c>
      <c r="I574" s="39" t="str">
        <f>_xlfn.XLOOKUP(Table6[[#This Row],[Affected WTG]],'Basic Data'!$A:$A,'Basic Data'!$C:$C)</f>
        <v>MSEDCL</v>
      </c>
      <c r="J574" s="363">
        <f>IFERROR(VLOOKUP(Table6[[#This Row],[Affected WTG]],'Basic Data'!$A$3:$E$56,5,0),"")</f>
        <v>2.564102564102564E-2</v>
      </c>
      <c r="K574" s="121">
        <v>2118</v>
      </c>
      <c r="L574" s="39" t="str">
        <f>IFERROR(VLOOKUP(Table6[[#This Row],[Error Code]],'Basic Data'!$T:$U,2,0),"")</f>
        <v>Bus Error - Interbus Failure</v>
      </c>
      <c r="M574" s="364" t="s">
        <v>462</v>
      </c>
      <c r="O574" s="365">
        <v>0.67361111111111116</v>
      </c>
      <c r="P574" s="365">
        <v>0.6958333333333333</v>
      </c>
      <c r="Q574" s="365">
        <v>0.69791666666666663</v>
      </c>
      <c r="R574" s="366">
        <f>IF(Table6[[#This Row],[Work Start TimeStamp]]="","",(Table6[[#This Row],[Work Start TimeStamp]]-Table6[[#This Row],[Fault Start TimeStamp]])*24)</f>
        <v>0.53333333333333144</v>
      </c>
      <c r="S574" s="377">
        <f>(Table6[[#This Row],[Fault Clearance time]]-Table6[[#This Row],[Work Start TimeStamp]])*24</f>
        <v>4.9999999999999822E-2</v>
      </c>
      <c r="T574" s="378">
        <f>(Table6[[#This Row],[Fault Clearance time]]-Table6[[#This Row],[Fault Start TimeStamp]])*24</f>
        <v>0.58333333333333126</v>
      </c>
      <c r="U574" s="364" t="s">
        <v>491</v>
      </c>
      <c r="V574" s="364" t="s">
        <v>463</v>
      </c>
      <c r="W574" s="354">
        <f>Table6[[#This Row],[Breakdown Time]]*(1/39)</f>
        <v>1.4957264957264904E-2</v>
      </c>
      <c r="X574" s="352" t="s">
        <v>465</v>
      </c>
      <c r="Y574" s="364" t="s">
        <v>147</v>
      </c>
      <c r="Z574" s="121">
        <v>3121</v>
      </c>
      <c r="AA574" s="123">
        <v>75.857638888888616</v>
      </c>
      <c r="AB574" s="121" t="s">
        <v>478</v>
      </c>
    </row>
    <row r="575" spans="1:28">
      <c r="A575" s="121">
        <f t="shared" si="8"/>
        <v>574</v>
      </c>
      <c r="B575" s="123">
        <f>YEAR(Table6[[#This Row],[Date]])+IF(MONTH(Table6[[#This Row],[Date]])&gt;=4,1,0)</f>
        <v>2026</v>
      </c>
      <c r="C575" s="121">
        <f>YEAR(Table6[[#This Row],[Date]])</f>
        <v>2025</v>
      </c>
      <c r="D575" s="121" t="s">
        <v>490</v>
      </c>
      <c r="E575" s="135">
        <f>Table6[[#This Row],[Date]]-DAY(Table6[[#This Row],[Date]])+1</f>
        <v>45778</v>
      </c>
      <c r="F575" s="134">
        <v>45796</v>
      </c>
      <c r="G575" s="121" t="s">
        <v>144</v>
      </c>
      <c r="H575" s="39" t="str">
        <f>_xlfn.XLOOKUP(Table6[[#This Row],[Affected WTG]],'Basic Data'!$A:$A,'Basic Data'!$B:$B)</f>
        <v>PWEGPL</v>
      </c>
      <c r="I575" s="39" t="str">
        <f>_xlfn.XLOOKUP(Table6[[#This Row],[Affected WTG]],'Basic Data'!$A:$A,'Basic Data'!$C:$C)</f>
        <v>MSEDCL</v>
      </c>
      <c r="J575" s="363">
        <f>IFERROR(VLOOKUP(Table6[[#This Row],[Affected WTG]],'Basic Data'!$A$3:$E$56,5,0),"")</f>
        <v>2.564102564102564E-2</v>
      </c>
      <c r="K575" s="121" t="s">
        <v>492</v>
      </c>
      <c r="L575" s="39" t="str">
        <f>IFERROR(VLOOKUP(Table6[[#This Row],[Error Code]],'Basic Data'!$T:$U,2,0),"")</f>
        <v>Manual Stop - Safety Related</v>
      </c>
      <c r="M575" s="364" t="s">
        <v>481</v>
      </c>
      <c r="O575" s="365">
        <v>0</v>
      </c>
      <c r="P575" s="365">
        <v>0.99930555555555556</v>
      </c>
      <c r="Q575" s="365">
        <v>0.99930555555555556</v>
      </c>
      <c r="R575" s="366">
        <f>IF(Table6[[#This Row],[Work Start TimeStamp]]="","",(Table6[[#This Row],[Work Start TimeStamp]]-Table6[[#This Row],[Fault Start TimeStamp]])*24)</f>
        <v>23.983333333333334</v>
      </c>
      <c r="S575" s="377">
        <f>(Table6[[#This Row],[Fault Clearance time]]-Table6[[#This Row],[Work Start TimeStamp]])*24</f>
        <v>0</v>
      </c>
      <c r="T575" s="378">
        <f>(Table6[[#This Row],[Fault Clearance time]]-Table6[[#This Row],[Fault Start TimeStamp]])*24</f>
        <v>23.983333333333334</v>
      </c>
      <c r="U575" s="364" t="s">
        <v>498</v>
      </c>
      <c r="V575" s="364" t="s">
        <v>473</v>
      </c>
      <c r="W575" s="354">
        <f>Table6[[#This Row],[Breakdown Time]]*(1/39)</f>
        <v>0.61495726495726499</v>
      </c>
      <c r="X575" s="352" t="s">
        <v>468</v>
      </c>
      <c r="Y575" s="364" t="s">
        <v>141</v>
      </c>
      <c r="Z575" s="121">
        <v>4109</v>
      </c>
      <c r="AA575" s="123">
        <v>4106.1465277777779</v>
      </c>
      <c r="AB575" s="121" t="s">
        <v>478</v>
      </c>
    </row>
    <row r="576" spans="1:28">
      <c r="A576" s="121">
        <f t="shared" si="8"/>
        <v>575</v>
      </c>
      <c r="B576" s="123">
        <f>YEAR(Table6[[#This Row],[Date]])+IF(MONTH(Table6[[#This Row],[Date]])&gt;=4,1,0)</f>
        <v>2026</v>
      </c>
      <c r="C576" s="121">
        <f>YEAR(Table6[[#This Row],[Date]])</f>
        <v>2025</v>
      </c>
      <c r="D576" s="121" t="s">
        <v>490</v>
      </c>
      <c r="E576" s="135">
        <f>Table6[[#This Row],[Date]]-DAY(Table6[[#This Row],[Date]])+1</f>
        <v>45778</v>
      </c>
      <c r="F576" s="134">
        <v>45796</v>
      </c>
      <c r="G576" s="121" t="s">
        <v>142</v>
      </c>
      <c r="H576" s="39" t="str">
        <f>_xlfn.XLOOKUP(Table6[[#This Row],[Affected WTG]],'Basic Data'!$A:$A,'Basic Data'!$B:$B)</f>
        <v>PWEGPL</v>
      </c>
      <c r="I576" s="39" t="str">
        <f>_xlfn.XLOOKUP(Table6[[#This Row],[Affected WTG]],'Basic Data'!$A:$A,'Basic Data'!$C:$C)</f>
        <v>MSEDCL</v>
      </c>
      <c r="J576" s="363">
        <f>IFERROR(VLOOKUP(Table6[[#This Row],[Affected WTG]],'Basic Data'!$A$3:$E$56,5,0),"")</f>
        <v>2.564102564102564E-2</v>
      </c>
      <c r="K576" s="121" t="s">
        <v>492</v>
      </c>
      <c r="L576" s="39" t="str">
        <f>IFERROR(VLOOKUP(Table6[[#This Row],[Error Code]],'Basic Data'!$T:$U,2,0),"")</f>
        <v>Manual Stop - Safety Related</v>
      </c>
      <c r="M576" s="364" t="s">
        <v>481</v>
      </c>
      <c r="O576" s="365">
        <v>0</v>
      </c>
      <c r="P576" s="365">
        <v>0.99930555555555556</v>
      </c>
      <c r="Q576" s="365">
        <v>0.99930555555555556</v>
      </c>
      <c r="R576" s="366">
        <f>IF(Table6[[#This Row],[Work Start TimeStamp]]="","",(Table6[[#This Row],[Work Start TimeStamp]]-Table6[[#This Row],[Fault Start TimeStamp]])*24)</f>
        <v>23.983333333333334</v>
      </c>
      <c r="S576" s="377">
        <f>(Table6[[#This Row],[Fault Clearance time]]-Table6[[#This Row],[Work Start TimeStamp]])*24</f>
        <v>0</v>
      </c>
      <c r="T576" s="378">
        <f>(Table6[[#This Row],[Fault Clearance time]]-Table6[[#This Row],[Fault Start TimeStamp]])*24</f>
        <v>23.983333333333334</v>
      </c>
      <c r="U576" s="364" t="s">
        <v>498</v>
      </c>
      <c r="V576" s="364" t="s">
        <v>473</v>
      </c>
      <c r="W576" s="354">
        <f>Table6[[#This Row],[Breakdown Time]]*(1/39)</f>
        <v>0.61495726495726499</v>
      </c>
      <c r="X576" s="352" t="s">
        <v>468</v>
      </c>
      <c r="Y576" s="364" t="s">
        <v>141</v>
      </c>
      <c r="Z576" s="121">
        <v>4109</v>
      </c>
      <c r="AA576" s="123">
        <v>4106.1465277777779</v>
      </c>
      <c r="AB576" s="121" t="s">
        <v>478</v>
      </c>
    </row>
    <row r="577" spans="1:28">
      <c r="A577" s="121">
        <f t="shared" si="8"/>
        <v>576</v>
      </c>
      <c r="B577" s="123">
        <f>YEAR(Table6[[#This Row],[Date]])+IF(MONTH(Table6[[#This Row],[Date]])&gt;=4,1,0)</f>
        <v>2026</v>
      </c>
      <c r="C577" s="121">
        <f>YEAR(Table6[[#This Row],[Date]])</f>
        <v>2025</v>
      </c>
      <c r="D577" s="121" t="s">
        <v>490</v>
      </c>
      <c r="E577" s="135">
        <f>Table6[[#This Row],[Date]]-DAY(Table6[[#This Row],[Date]])+1</f>
        <v>45778</v>
      </c>
      <c r="F577" s="134">
        <v>45796</v>
      </c>
      <c r="G577" s="121" t="s">
        <v>119</v>
      </c>
      <c r="H577" s="39" t="str">
        <f>_xlfn.XLOOKUP(Table6[[#This Row],[Affected WTG]],'Basic Data'!$A:$A,'Basic Data'!$B:$B)</f>
        <v>PWEGPL</v>
      </c>
      <c r="I577" s="39" t="str">
        <f>_xlfn.XLOOKUP(Table6[[#This Row],[Affected WTG]],'Basic Data'!$A:$A,'Basic Data'!$C:$C)</f>
        <v>MSEDCL</v>
      </c>
      <c r="J577" s="363">
        <f>IFERROR(VLOOKUP(Table6[[#This Row],[Affected WTG]],'Basic Data'!$A$3:$E$56,5,0),"")</f>
        <v>2.564102564102564E-2</v>
      </c>
      <c r="K577" s="121" t="s">
        <v>466</v>
      </c>
      <c r="L577" s="39" t="str">
        <f>IFERROR(VLOOKUP(Table6[[#This Row],[Error Code]],'Basic Data'!$T:$U,2,0),"")</f>
        <v>Manual Stop</v>
      </c>
      <c r="M577" s="364" t="s">
        <v>507</v>
      </c>
      <c r="O577" s="365">
        <v>0.46944444444444444</v>
      </c>
      <c r="P577" s="365">
        <v>0.46944444444444444</v>
      </c>
      <c r="Q577" s="365">
        <v>0.51388888888888884</v>
      </c>
      <c r="R577" s="366">
        <f>IF(Table6[[#This Row],[Work Start TimeStamp]]="","",(Table6[[#This Row],[Work Start TimeStamp]]-Table6[[#This Row],[Fault Start TimeStamp]])*24)</f>
        <v>0</v>
      </c>
      <c r="S577" s="377">
        <f>(Table6[[#This Row],[Fault Clearance time]]-Table6[[#This Row],[Work Start TimeStamp]])*24</f>
        <v>1.0666666666666655</v>
      </c>
      <c r="T577" s="378">
        <f>(Table6[[#This Row],[Fault Clearance time]]-Table6[[#This Row],[Fault Start TimeStamp]])*24</f>
        <v>1.0666666666666655</v>
      </c>
      <c r="U577" s="364" t="s">
        <v>607</v>
      </c>
      <c r="V577" s="364" t="s">
        <v>463</v>
      </c>
      <c r="W577" s="354">
        <f>Table6[[#This Row],[Breakdown Time]]*(1/39)</f>
        <v>2.7350427350427319E-2</v>
      </c>
      <c r="X577" s="352" t="s">
        <v>464</v>
      </c>
      <c r="Y577" s="364" t="s">
        <v>137</v>
      </c>
      <c r="Z577" s="121">
        <v>4115</v>
      </c>
      <c r="AA577" s="123">
        <v>868.7222222222224</v>
      </c>
      <c r="AB577" s="121" t="s">
        <v>478</v>
      </c>
    </row>
    <row r="578" spans="1:28">
      <c r="A578" s="121">
        <f t="shared" si="8"/>
        <v>577</v>
      </c>
      <c r="B578" s="123">
        <f>YEAR(Table6[[#This Row],[Date]])+IF(MONTH(Table6[[#This Row],[Date]])&gt;=4,1,0)</f>
        <v>2026</v>
      </c>
      <c r="C578" s="121">
        <f>YEAR(Table6[[#This Row],[Date]])</f>
        <v>2025</v>
      </c>
      <c r="D578" s="121" t="s">
        <v>490</v>
      </c>
      <c r="E578" s="135">
        <f>Table6[[#This Row],[Date]]-DAY(Table6[[#This Row],[Date]])+1</f>
        <v>45778</v>
      </c>
      <c r="F578" s="134">
        <v>45796</v>
      </c>
      <c r="G578" s="121" t="s">
        <v>136</v>
      </c>
      <c r="H578" s="39" t="str">
        <f>_xlfn.XLOOKUP(Table6[[#This Row],[Affected WTG]],'Basic Data'!$A:$A,'Basic Data'!$B:$B)</f>
        <v>PWEGPL</v>
      </c>
      <c r="I578" s="39" t="str">
        <f>_xlfn.XLOOKUP(Table6[[#This Row],[Affected WTG]],'Basic Data'!$A:$A,'Basic Data'!$C:$C)</f>
        <v>MSEDCL</v>
      </c>
      <c r="J578" s="363">
        <f>IFERROR(VLOOKUP(Table6[[#This Row],[Affected WTG]],'Basic Data'!$A$3:$E$56,5,0),"")</f>
        <v>2.564102564102564E-2</v>
      </c>
      <c r="K578" s="121" t="s">
        <v>476</v>
      </c>
      <c r="L578" s="39" t="str">
        <f>IFERROR(VLOOKUP(Table6[[#This Row],[Error Code]],'Basic Data'!$T:$U,2,0),"")</f>
        <v>Manual Stop - Preventive Maintenance Activity</v>
      </c>
      <c r="M578" s="364" t="s">
        <v>474</v>
      </c>
      <c r="O578" s="365">
        <v>0.46111111111111114</v>
      </c>
      <c r="P578" s="365">
        <v>0.46111111111111114</v>
      </c>
      <c r="Q578" s="365">
        <v>0.72916666666666663</v>
      </c>
      <c r="R578" s="366">
        <f>IF(Table6[[#This Row],[Work Start TimeStamp]]="","",(Table6[[#This Row],[Work Start TimeStamp]]-Table6[[#This Row],[Fault Start TimeStamp]])*24)</f>
        <v>0</v>
      </c>
      <c r="S578" s="367">
        <f>(Table6[[#This Row],[Fault Clearance time]]-Table6[[#This Row],[Work Start TimeStamp]])*24</f>
        <v>6.4333333333333318</v>
      </c>
      <c r="T578" s="368">
        <f>(Table6[[#This Row],[Fault Clearance time]]-Table6[[#This Row],[Fault Start TimeStamp]])*24</f>
        <v>6.4333333333333318</v>
      </c>
      <c r="U578" s="364" t="s">
        <v>582</v>
      </c>
      <c r="V578" s="364" t="s">
        <v>463</v>
      </c>
      <c r="W578" s="354">
        <f>Table6[[#This Row],[Breakdown Time]]*(1/39)</f>
        <v>0.1649572649572649</v>
      </c>
      <c r="X578" s="352" t="s">
        <v>467</v>
      </c>
      <c r="Y578" s="364" t="s">
        <v>135</v>
      </c>
      <c r="Z578" s="121">
        <v>4102</v>
      </c>
      <c r="AA578" s="123">
        <v>1099.5638888888886</v>
      </c>
      <c r="AB578" s="121" t="s">
        <v>478</v>
      </c>
    </row>
    <row r="579" spans="1:28">
      <c r="A579" s="121">
        <f t="shared" si="8"/>
        <v>578</v>
      </c>
      <c r="B579" s="123">
        <f>YEAR(Table6[[#This Row],[Date]])+IF(MONTH(Table6[[#This Row],[Date]])&gt;=4,1,0)</f>
        <v>2026</v>
      </c>
      <c r="C579" s="121">
        <f>YEAR(Table6[[#This Row],[Date]])</f>
        <v>2025</v>
      </c>
      <c r="D579" s="121" t="s">
        <v>490</v>
      </c>
      <c r="E579" s="135">
        <f>Table6[[#This Row],[Date]]-DAY(Table6[[#This Row],[Date]])+1</f>
        <v>45778</v>
      </c>
      <c r="F579" s="134">
        <v>45796</v>
      </c>
      <c r="G579" s="121" t="s">
        <v>141</v>
      </c>
      <c r="H579" s="39" t="str">
        <f>_xlfn.XLOOKUP(Table6[[#This Row],[Affected WTG]],'Basic Data'!$A:$A,'Basic Data'!$B:$B)</f>
        <v>PWEGPL</v>
      </c>
      <c r="I579" s="39" t="str">
        <f>_xlfn.XLOOKUP(Table6[[#This Row],[Affected WTG]],'Basic Data'!$A:$A,'Basic Data'!$C:$C)</f>
        <v>MSEDCL</v>
      </c>
      <c r="J579" s="363">
        <f>IFERROR(VLOOKUP(Table6[[#This Row],[Affected WTG]],'Basic Data'!$A$3:$E$56,5,0),"")</f>
        <v>2.564102564102564E-2</v>
      </c>
      <c r="K579" s="121">
        <v>2102</v>
      </c>
      <c r="L579" s="39" t="str">
        <f>IFERROR(VLOOKUP(Table6[[#This Row],[Error Code]],'Basic Data'!$T:$U,2,0),"")</f>
        <v>PLC Module Failure</v>
      </c>
      <c r="M579" s="364" t="s">
        <v>462</v>
      </c>
      <c r="O579" s="365">
        <v>0.68194444444444446</v>
      </c>
      <c r="P579" s="365">
        <v>0.70694444444444449</v>
      </c>
      <c r="Q579" s="365">
        <v>0.70902777777777781</v>
      </c>
      <c r="R579" s="366">
        <f>IF(Table6[[#This Row],[Work Start TimeStamp]]="","",(Table6[[#This Row],[Work Start TimeStamp]]-Table6[[#This Row],[Fault Start TimeStamp]])*24)</f>
        <v>0.60000000000000053</v>
      </c>
      <c r="S579" s="377">
        <f>(Table6[[#This Row],[Fault Clearance time]]-Table6[[#This Row],[Work Start TimeStamp]])*24</f>
        <v>4.9999999999999822E-2</v>
      </c>
      <c r="T579" s="378">
        <f>(Table6[[#This Row],[Fault Clearance time]]-Table6[[#This Row],[Fault Start TimeStamp]])*24</f>
        <v>0.65000000000000036</v>
      </c>
      <c r="U579" s="364" t="s">
        <v>491</v>
      </c>
      <c r="V579" s="364" t="s">
        <v>463</v>
      </c>
      <c r="W579" s="354">
        <f>Table6[[#This Row],[Breakdown Time]]*(1/39)</f>
        <v>1.6666666666666677E-2</v>
      </c>
      <c r="X579" s="352" t="s">
        <v>465</v>
      </c>
      <c r="Y579" s="364" t="s">
        <v>143</v>
      </c>
      <c r="Z579" s="121">
        <v>4121</v>
      </c>
      <c r="AA579" s="123">
        <v>111.61041666666674</v>
      </c>
      <c r="AB579" s="121" t="s">
        <v>478</v>
      </c>
    </row>
    <row r="580" spans="1:28">
      <c r="A580" s="121">
        <f t="shared" ref="A580:A643" si="9">A579+1</f>
        <v>579</v>
      </c>
      <c r="B580" s="123">
        <f>YEAR(Table6[[#This Row],[Date]])+IF(MONTH(Table6[[#This Row],[Date]])&gt;=4,1,0)</f>
        <v>2026</v>
      </c>
      <c r="C580" s="121">
        <f>YEAR(Table6[[#This Row],[Date]])</f>
        <v>2025</v>
      </c>
      <c r="D580" s="121" t="s">
        <v>490</v>
      </c>
      <c r="E580" s="135">
        <f>Table6[[#This Row],[Date]]-DAY(Table6[[#This Row],[Date]])+1</f>
        <v>45778</v>
      </c>
      <c r="F580" s="134">
        <v>45797</v>
      </c>
      <c r="G580" s="121" t="s">
        <v>144</v>
      </c>
      <c r="H580" s="39" t="str">
        <f>_xlfn.XLOOKUP(Table6[[#This Row],[Affected WTG]],'Basic Data'!$A:$A,'Basic Data'!$B:$B)</f>
        <v>PWEGPL</v>
      </c>
      <c r="I580" s="39" t="str">
        <f>_xlfn.XLOOKUP(Table6[[#This Row],[Affected WTG]],'Basic Data'!$A:$A,'Basic Data'!$C:$C)</f>
        <v>MSEDCL</v>
      </c>
      <c r="J580" s="363">
        <f>IFERROR(VLOOKUP(Table6[[#This Row],[Affected WTG]],'Basic Data'!$A$3:$E$56,5,0),"")</f>
        <v>2.564102564102564E-2</v>
      </c>
      <c r="K580" s="121" t="s">
        <v>492</v>
      </c>
      <c r="L580" s="39" t="str">
        <f>IFERROR(VLOOKUP(Table6[[#This Row],[Error Code]],'Basic Data'!$T:$U,2,0),"")</f>
        <v>Manual Stop - Safety Related</v>
      </c>
      <c r="M580" s="364" t="s">
        <v>481</v>
      </c>
      <c r="O580" s="365">
        <v>0</v>
      </c>
      <c r="P580" s="365">
        <v>0.99930555555555556</v>
      </c>
      <c r="Q580" s="365">
        <v>0.99930555555555556</v>
      </c>
      <c r="R580" s="366">
        <f>IF(Table6[[#This Row],[Work Start TimeStamp]]="","",(Table6[[#This Row],[Work Start TimeStamp]]-Table6[[#This Row],[Fault Start TimeStamp]])*24)</f>
        <v>23.983333333333334</v>
      </c>
      <c r="S580" s="377">
        <f>(Table6[[#This Row],[Fault Clearance time]]-Table6[[#This Row],[Work Start TimeStamp]])*24</f>
        <v>0</v>
      </c>
      <c r="T580" s="378">
        <f>(Table6[[#This Row],[Fault Clearance time]]-Table6[[#This Row],[Fault Start TimeStamp]])*24</f>
        <v>23.983333333333334</v>
      </c>
      <c r="U580" s="364" t="s">
        <v>498</v>
      </c>
      <c r="V580" s="364" t="s">
        <v>473</v>
      </c>
      <c r="W580" s="354">
        <f>Table6[[#This Row],[Breakdown Time]]*(1/39)</f>
        <v>0.61495726495726499</v>
      </c>
      <c r="X580" s="352" t="s">
        <v>468</v>
      </c>
      <c r="Y580" s="364" t="s">
        <v>141</v>
      </c>
      <c r="Z580" s="121">
        <v>5242</v>
      </c>
      <c r="AA580" s="123">
        <v>5238.3597222222224</v>
      </c>
      <c r="AB580" s="121" t="s">
        <v>478</v>
      </c>
    </row>
    <row r="581" spans="1:28">
      <c r="A581" s="121">
        <f t="shared" si="9"/>
        <v>580</v>
      </c>
      <c r="B581" s="123">
        <f>YEAR(Table6[[#This Row],[Date]])+IF(MONTH(Table6[[#This Row],[Date]])&gt;=4,1,0)</f>
        <v>2026</v>
      </c>
      <c r="C581" s="121">
        <f>YEAR(Table6[[#This Row],[Date]])</f>
        <v>2025</v>
      </c>
      <c r="D581" s="121" t="s">
        <v>490</v>
      </c>
      <c r="E581" s="135">
        <f>Table6[[#This Row],[Date]]-DAY(Table6[[#This Row],[Date]])+1</f>
        <v>45778</v>
      </c>
      <c r="F581" s="134">
        <v>45797</v>
      </c>
      <c r="G581" s="121" t="s">
        <v>142</v>
      </c>
      <c r="H581" s="39" t="str">
        <f>_xlfn.XLOOKUP(Table6[[#This Row],[Affected WTG]],'Basic Data'!$A:$A,'Basic Data'!$B:$B)</f>
        <v>PWEGPL</v>
      </c>
      <c r="I581" s="39" t="str">
        <f>_xlfn.XLOOKUP(Table6[[#This Row],[Affected WTG]],'Basic Data'!$A:$A,'Basic Data'!$C:$C)</f>
        <v>MSEDCL</v>
      </c>
      <c r="J581" s="363">
        <f>IFERROR(VLOOKUP(Table6[[#This Row],[Affected WTG]],'Basic Data'!$A$3:$E$56,5,0),"")</f>
        <v>2.564102564102564E-2</v>
      </c>
      <c r="K581" s="121" t="s">
        <v>492</v>
      </c>
      <c r="L581" s="39" t="str">
        <f>IFERROR(VLOOKUP(Table6[[#This Row],[Error Code]],'Basic Data'!$T:$U,2,0),"")</f>
        <v>Manual Stop - Safety Related</v>
      </c>
      <c r="M581" s="364" t="s">
        <v>481</v>
      </c>
      <c r="O581" s="365">
        <v>0</v>
      </c>
      <c r="P581" s="365">
        <v>0.99930555555555556</v>
      </c>
      <c r="Q581" s="365">
        <v>0.99930555555555556</v>
      </c>
      <c r="R581" s="366">
        <f>IF(Table6[[#This Row],[Work Start TimeStamp]]="","",(Table6[[#This Row],[Work Start TimeStamp]]-Table6[[#This Row],[Fault Start TimeStamp]])*24)</f>
        <v>23.983333333333334</v>
      </c>
      <c r="S581" s="377">
        <f>(Table6[[#This Row],[Fault Clearance time]]-Table6[[#This Row],[Work Start TimeStamp]])*24</f>
        <v>0</v>
      </c>
      <c r="T581" s="378">
        <f>(Table6[[#This Row],[Fault Clearance time]]-Table6[[#This Row],[Fault Start TimeStamp]])*24</f>
        <v>23.983333333333334</v>
      </c>
      <c r="U581" s="364" t="s">
        <v>498</v>
      </c>
      <c r="V581" s="364" t="s">
        <v>473</v>
      </c>
      <c r="W581" s="354">
        <f>Table6[[#This Row],[Breakdown Time]]*(1/39)</f>
        <v>0.61495726495726499</v>
      </c>
      <c r="X581" s="352" t="s">
        <v>468</v>
      </c>
      <c r="Y581" s="364" t="s">
        <v>141</v>
      </c>
      <c r="Z581" s="121">
        <v>5242</v>
      </c>
      <c r="AA581" s="123">
        <v>5238.3597222222224</v>
      </c>
      <c r="AB581" s="121" t="s">
        <v>478</v>
      </c>
    </row>
    <row r="582" spans="1:28">
      <c r="A582" s="121">
        <f t="shared" si="9"/>
        <v>581</v>
      </c>
      <c r="B582" s="123">
        <f>YEAR(Table6[[#This Row],[Date]])+IF(MONTH(Table6[[#This Row],[Date]])&gt;=4,1,0)</f>
        <v>2026</v>
      </c>
      <c r="C582" s="121">
        <f>YEAR(Table6[[#This Row],[Date]])</f>
        <v>2025</v>
      </c>
      <c r="D582" s="121" t="s">
        <v>490</v>
      </c>
      <c r="E582" s="135">
        <f>Table6[[#This Row],[Date]]-DAY(Table6[[#This Row],[Date]])+1</f>
        <v>45778</v>
      </c>
      <c r="F582" s="134">
        <v>45797</v>
      </c>
      <c r="G582" s="121" t="s">
        <v>116</v>
      </c>
      <c r="H582" s="39" t="str">
        <f>_xlfn.XLOOKUP(Table6[[#This Row],[Affected WTG]],'Basic Data'!$A:$A,'Basic Data'!$B:$B)</f>
        <v>PWEGPL</v>
      </c>
      <c r="I582" s="39" t="str">
        <f>_xlfn.XLOOKUP(Table6[[#This Row],[Affected WTG]],'Basic Data'!$A:$A,'Basic Data'!$C:$C)</f>
        <v>MSEDCL</v>
      </c>
      <c r="J582" s="363">
        <f>IFERROR(VLOOKUP(Table6[[#This Row],[Affected WTG]],'Basic Data'!$A$3:$E$56,5,0),"")</f>
        <v>2.564102564102564E-2</v>
      </c>
      <c r="K582" s="121">
        <v>203</v>
      </c>
      <c r="L582" s="39" t="str">
        <f>IFERROR(VLOOKUP(Table6[[#This Row],[Error Code]],'Basic Data'!$T:$U,2,0),"")</f>
        <v>Low Pressure On Hydraulic Group</v>
      </c>
      <c r="M582" s="364" t="s">
        <v>462</v>
      </c>
      <c r="O582" s="365">
        <v>0.66805555555555551</v>
      </c>
      <c r="P582" s="365">
        <v>0.69097222222222221</v>
      </c>
      <c r="Q582" s="365">
        <v>0.69236111111111109</v>
      </c>
      <c r="R582" s="366">
        <f>IF(Table6[[#This Row],[Work Start TimeStamp]]="","",(Table6[[#This Row],[Work Start TimeStamp]]-Table6[[#This Row],[Fault Start TimeStamp]])*24)</f>
        <v>0.55000000000000071</v>
      </c>
      <c r="S582" s="377">
        <f>(Table6[[#This Row],[Fault Clearance time]]-Table6[[#This Row],[Work Start TimeStamp]])*24</f>
        <v>3.3333333333333215E-2</v>
      </c>
      <c r="T582" s="378">
        <f>(Table6[[#This Row],[Fault Clearance time]]-Table6[[#This Row],[Fault Start TimeStamp]])*24</f>
        <v>0.58333333333333393</v>
      </c>
      <c r="U582" s="364" t="s">
        <v>493</v>
      </c>
      <c r="V582" s="364" t="s">
        <v>463</v>
      </c>
      <c r="W582" s="354">
        <f>Table6[[#This Row],[Breakdown Time]]*(1/39)</f>
        <v>1.4957264957264972E-2</v>
      </c>
      <c r="X582" s="352" t="s">
        <v>465</v>
      </c>
      <c r="Y582" s="364" t="s">
        <v>118</v>
      </c>
      <c r="Z582" s="121">
        <v>5575</v>
      </c>
      <c r="AA582" s="123">
        <v>135.50347222222234</v>
      </c>
      <c r="AB582" s="121" t="s">
        <v>478</v>
      </c>
    </row>
    <row r="583" spans="1:28">
      <c r="A583" s="121">
        <f t="shared" si="9"/>
        <v>582</v>
      </c>
      <c r="B583" s="123">
        <f>YEAR(Table6[[#This Row],[Date]])+IF(MONTH(Table6[[#This Row],[Date]])&gt;=4,1,0)</f>
        <v>2026</v>
      </c>
      <c r="C583" s="121">
        <f>YEAR(Table6[[#This Row],[Date]])</f>
        <v>2025</v>
      </c>
      <c r="D583" s="121" t="s">
        <v>490</v>
      </c>
      <c r="E583" s="135">
        <f>Table6[[#This Row],[Date]]-DAY(Table6[[#This Row],[Date]])+1</f>
        <v>45778</v>
      </c>
      <c r="F583" s="134">
        <v>45797</v>
      </c>
      <c r="G583" s="121" t="s">
        <v>117</v>
      </c>
      <c r="H583" s="39" t="str">
        <f>_xlfn.XLOOKUP(Table6[[#This Row],[Affected WTG]],'Basic Data'!$A:$A,'Basic Data'!$B:$B)</f>
        <v>PWEGPL</v>
      </c>
      <c r="I583" s="39" t="str">
        <f>_xlfn.XLOOKUP(Table6[[#This Row],[Affected WTG]],'Basic Data'!$A:$A,'Basic Data'!$C:$C)</f>
        <v>MSEDCL</v>
      </c>
      <c r="J583" s="363">
        <f>IFERROR(VLOOKUP(Table6[[#This Row],[Affected WTG]],'Basic Data'!$A$3:$E$56,5,0),"")</f>
        <v>2.564102564102564E-2</v>
      </c>
      <c r="K583" s="121">
        <v>222</v>
      </c>
      <c r="L583" s="39" t="str">
        <f>IFERROR(VLOOKUP(Table6[[#This Row],[Error Code]],'Basic Data'!$T:$U,2,0),"")</f>
        <v>Very Low Pressure On Hydraulic Unit</v>
      </c>
      <c r="M583" s="364" t="s">
        <v>462</v>
      </c>
      <c r="O583" s="365">
        <v>0.67708333333333337</v>
      </c>
      <c r="P583" s="365">
        <v>0.70277777777777772</v>
      </c>
      <c r="Q583" s="365">
        <v>0.70416666666666672</v>
      </c>
      <c r="R583" s="366">
        <f>IF(Table6[[#This Row],[Work Start TimeStamp]]="","",(Table6[[#This Row],[Work Start TimeStamp]]-Table6[[#This Row],[Fault Start TimeStamp]])*24)</f>
        <v>0.61666666666666448</v>
      </c>
      <c r="S583" s="377">
        <f>(Table6[[#This Row],[Fault Clearance time]]-Table6[[#This Row],[Work Start TimeStamp]])*24</f>
        <v>3.3333333333335879E-2</v>
      </c>
      <c r="T583" s="378">
        <f>(Table6[[#This Row],[Fault Clearance time]]-Table6[[#This Row],[Fault Start TimeStamp]])*24</f>
        <v>0.65000000000000036</v>
      </c>
      <c r="U583" s="364" t="s">
        <v>493</v>
      </c>
      <c r="V583" s="364" t="s">
        <v>463</v>
      </c>
      <c r="W583" s="354">
        <f>Table6[[#This Row],[Breakdown Time]]*(1/39)</f>
        <v>1.6666666666666677E-2</v>
      </c>
      <c r="X583" s="352" t="s">
        <v>465</v>
      </c>
      <c r="Y583" s="364" t="s">
        <v>118</v>
      </c>
      <c r="Z583" s="121">
        <v>5575</v>
      </c>
      <c r="AA583" s="123">
        <v>150.9895833333334</v>
      </c>
      <c r="AB583" s="121" t="s">
        <v>478</v>
      </c>
    </row>
    <row r="584" spans="1:28">
      <c r="A584" s="121">
        <f t="shared" si="9"/>
        <v>583</v>
      </c>
      <c r="B584" s="123">
        <f>YEAR(Table6[[#This Row],[Date]])+IF(MONTH(Table6[[#This Row],[Date]])&gt;=4,1,0)</f>
        <v>2026</v>
      </c>
      <c r="C584" s="121">
        <f>YEAR(Table6[[#This Row],[Date]])</f>
        <v>2025</v>
      </c>
      <c r="D584" s="121" t="s">
        <v>490</v>
      </c>
      <c r="E584" s="135">
        <f>Table6[[#This Row],[Date]]-DAY(Table6[[#This Row],[Date]])+1</f>
        <v>45778</v>
      </c>
      <c r="F584" s="134">
        <v>45797</v>
      </c>
      <c r="G584" s="121" t="s">
        <v>123</v>
      </c>
      <c r="H584" s="39" t="str">
        <f>_xlfn.XLOOKUP(Table6[[#This Row],[Affected WTG]],'Basic Data'!$A:$A,'Basic Data'!$B:$B)</f>
        <v>PWEGPL</v>
      </c>
      <c r="I584" s="39" t="str">
        <f>_xlfn.XLOOKUP(Table6[[#This Row],[Affected WTG]],'Basic Data'!$A:$A,'Basic Data'!$C:$C)</f>
        <v>MSEDCL</v>
      </c>
      <c r="J584" s="363">
        <f>IFERROR(VLOOKUP(Table6[[#This Row],[Affected WTG]],'Basic Data'!$A$3:$E$56,5,0),"")</f>
        <v>2.564102564102564E-2</v>
      </c>
      <c r="K584" s="121">
        <v>222</v>
      </c>
      <c r="L584" s="39" t="str">
        <f>IFERROR(VLOOKUP(Table6[[#This Row],[Error Code]],'Basic Data'!$T:$U,2,0),"")</f>
        <v>Very Low Pressure On Hydraulic Unit</v>
      </c>
      <c r="M584" s="364" t="s">
        <v>462</v>
      </c>
      <c r="O584" s="365">
        <v>0.67708333333333337</v>
      </c>
      <c r="P584" s="365">
        <v>0.70972222222222225</v>
      </c>
      <c r="Q584" s="365">
        <v>0.71111111111111114</v>
      </c>
      <c r="R584" s="366">
        <f>IF(Table6[[#This Row],[Work Start TimeStamp]]="","",(Table6[[#This Row],[Work Start TimeStamp]]-Table6[[#This Row],[Fault Start TimeStamp]])*24)</f>
        <v>0.78333333333333321</v>
      </c>
      <c r="S584" s="377">
        <f>(Table6[[#This Row],[Fault Clearance time]]-Table6[[#This Row],[Work Start TimeStamp]])*24</f>
        <v>3.3333333333333215E-2</v>
      </c>
      <c r="T584" s="378">
        <f>(Table6[[#This Row],[Fault Clearance time]]-Table6[[#This Row],[Fault Start TimeStamp]])*24</f>
        <v>0.81666666666666643</v>
      </c>
      <c r="U584" s="364" t="s">
        <v>493</v>
      </c>
      <c r="V584" s="364" t="s">
        <v>463</v>
      </c>
      <c r="W584" s="354">
        <f>Table6[[#This Row],[Breakdown Time]]*(1/39)</f>
        <v>2.0940170940170932E-2</v>
      </c>
      <c r="X584" s="352" t="s">
        <v>465</v>
      </c>
      <c r="Y584" s="364" t="s">
        <v>126</v>
      </c>
      <c r="Z584" s="121">
        <v>5342</v>
      </c>
      <c r="AA584" s="123">
        <v>181.77638888888885</v>
      </c>
      <c r="AB584" s="121" t="s">
        <v>478</v>
      </c>
    </row>
    <row r="585" spans="1:28">
      <c r="A585" s="121">
        <f t="shared" si="9"/>
        <v>584</v>
      </c>
      <c r="B585" s="123">
        <f>YEAR(Table6[[#This Row],[Date]])+IF(MONTH(Table6[[#This Row],[Date]])&gt;=4,1,0)</f>
        <v>2026</v>
      </c>
      <c r="C585" s="121">
        <f>YEAR(Table6[[#This Row],[Date]])</f>
        <v>2025</v>
      </c>
      <c r="D585" s="121" t="s">
        <v>490</v>
      </c>
      <c r="E585" s="135">
        <f>Table6[[#This Row],[Date]]-DAY(Table6[[#This Row],[Date]])+1</f>
        <v>45778</v>
      </c>
      <c r="F585" s="134">
        <v>45797</v>
      </c>
      <c r="G585" s="121" t="s">
        <v>124</v>
      </c>
      <c r="H585" s="39" t="str">
        <f>_xlfn.XLOOKUP(Table6[[#This Row],[Affected WTG]],'Basic Data'!$A:$A,'Basic Data'!$B:$B)</f>
        <v>PWEGPL</v>
      </c>
      <c r="I585" s="39" t="str">
        <f>_xlfn.XLOOKUP(Table6[[#This Row],[Affected WTG]],'Basic Data'!$A:$A,'Basic Data'!$C:$C)</f>
        <v>MSEDCL</v>
      </c>
      <c r="J585" s="363">
        <f>IFERROR(VLOOKUP(Table6[[#This Row],[Affected WTG]],'Basic Data'!$A$3:$E$56,5,0),"")</f>
        <v>2.564102564102564E-2</v>
      </c>
      <c r="K585" s="121" t="s">
        <v>487</v>
      </c>
      <c r="L585" s="39" t="str">
        <f>IFERROR(VLOOKUP(Table6[[#This Row],[Error Code]],'Basic Data'!$T:$U,2,0),"")</f>
        <v>General Work Stoppage</v>
      </c>
      <c r="M585" s="364" t="s">
        <v>479</v>
      </c>
      <c r="O585" s="365">
        <v>0.47222222222222221</v>
      </c>
      <c r="P585" s="365">
        <v>0.47222222222222221</v>
      </c>
      <c r="Q585" s="365">
        <v>0.67361111111111116</v>
      </c>
      <c r="R585" s="366">
        <f>IF(Table6[[#This Row],[Work Start TimeStamp]]="","",(Table6[[#This Row],[Work Start TimeStamp]]-Table6[[#This Row],[Fault Start TimeStamp]])*24)</f>
        <v>0</v>
      </c>
      <c r="S585" s="377">
        <f>(Table6[[#This Row],[Fault Clearance time]]-Table6[[#This Row],[Work Start TimeStamp]])*24</f>
        <v>4.8333333333333348</v>
      </c>
      <c r="T585" s="378">
        <f>(Table6[[#This Row],[Fault Clearance time]]-Table6[[#This Row],[Fault Start TimeStamp]])*24</f>
        <v>4.8333333333333348</v>
      </c>
      <c r="U585" s="364" t="s">
        <v>999</v>
      </c>
      <c r="V585" s="364" t="s">
        <v>463</v>
      </c>
      <c r="W585" s="354">
        <f>Table6[[#This Row],[Breakdown Time]]*(1/39)</f>
        <v>0.12393162393162396</v>
      </c>
      <c r="X585" s="352" t="s">
        <v>464</v>
      </c>
      <c r="Y585" s="364" t="s">
        <v>125</v>
      </c>
      <c r="Z585" s="121">
        <v>5543</v>
      </c>
      <c r="AA585" s="123">
        <v>1116.2986111111115</v>
      </c>
      <c r="AB585" s="121" t="s">
        <v>478</v>
      </c>
    </row>
    <row r="586" spans="1:28">
      <c r="A586" s="121">
        <f t="shared" si="9"/>
        <v>585</v>
      </c>
      <c r="B586" s="123">
        <f>YEAR(Table6[[#This Row],[Date]])+IF(MONTH(Table6[[#This Row],[Date]])&gt;=4,1,0)</f>
        <v>2026</v>
      </c>
      <c r="C586" s="121">
        <f>YEAR(Table6[[#This Row],[Date]])</f>
        <v>2025</v>
      </c>
      <c r="D586" s="121" t="s">
        <v>490</v>
      </c>
      <c r="E586" s="135">
        <f>Table6[[#This Row],[Date]]-DAY(Table6[[#This Row],[Date]])+1</f>
        <v>45778</v>
      </c>
      <c r="F586" s="134">
        <v>45797</v>
      </c>
      <c r="G586" s="121" t="s">
        <v>135</v>
      </c>
      <c r="H586" s="39" t="str">
        <f>_xlfn.XLOOKUP(Table6[[#This Row],[Affected WTG]],'Basic Data'!$A:$A,'Basic Data'!$B:$B)</f>
        <v>PWEGPL</v>
      </c>
      <c r="I586" s="39" t="str">
        <f>_xlfn.XLOOKUP(Table6[[#This Row],[Affected WTG]],'Basic Data'!$A:$A,'Basic Data'!$C:$C)</f>
        <v>MSEDCL</v>
      </c>
      <c r="J586" s="363">
        <f>IFERROR(VLOOKUP(Table6[[#This Row],[Affected WTG]],'Basic Data'!$A$3:$E$56,5,0),"")</f>
        <v>2.564102564102564E-2</v>
      </c>
      <c r="K586" s="121" t="s">
        <v>476</v>
      </c>
      <c r="L586" s="39" t="str">
        <f>IFERROR(VLOOKUP(Table6[[#This Row],[Error Code]],'Basic Data'!$T:$U,2,0),"")</f>
        <v>Manual Stop - Preventive Maintenance Activity</v>
      </c>
      <c r="M586" s="364" t="s">
        <v>474</v>
      </c>
      <c r="O586" s="365">
        <v>0.4861111111111111</v>
      </c>
      <c r="P586" s="365">
        <v>0.4861111111111111</v>
      </c>
      <c r="Q586" s="365">
        <v>0.7368055555555556</v>
      </c>
      <c r="R586" s="366">
        <f>IF(Table6[[#This Row],[Work Start TimeStamp]]="","",(Table6[[#This Row],[Work Start TimeStamp]]-Table6[[#This Row],[Fault Start TimeStamp]])*24)</f>
        <v>0</v>
      </c>
      <c r="S586" s="367">
        <f>(Table6[[#This Row],[Fault Clearance time]]-Table6[[#This Row],[Work Start TimeStamp]])*24</f>
        <v>6.0166666666666675</v>
      </c>
      <c r="T586" s="368">
        <f>(Table6[[#This Row],[Fault Clearance time]]-Table6[[#This Row],[Fault Start TimeStamp]])*24</f>
        <v>6.0166666666666675</v>
      </c>
      <c r="U586" s="364" t="s">
        <v>582</v>
      </c>
      <c r="V586" s="364" t="s">
        <v>463</v>
      </c>
      <c r="W586" s="354">
        <f>Table6[[#This Row],[Breakdown Time]]*(1/39)</f>
        <v>0.15427350427350428</v>
      </c>
      <c r="X586" s="352" t="s">
        <v>467</v>
      </c>
      <c r="Y586" s="364" t="s">
        <v>136</v>
      </c>
      <c r="Z586" s="121">
        <v>5200</v>
      </c>
      <c r="AA586" s="123">
        <v>1303.6111111111113</v>
      </c>
      <c r="AB586" s="121" t="s">
        <v>478</v>
      </c>
    </row>
    <row r="587" spans="1:28">
      <c r="A587" s="121">
        <f t="shared" si="9"/>
        <v>586</v>
      </c>
      <c r="B587" s="123">
        <f>YEAR(Table6[[#This Row],[Date]])+IF(MONTH(Table6[[#This Row],[Date]])&gt;=4,1,0)</f>
        <v>2026</v>
      </c>
      <c r="C587" s="121">
        <f>YEAR(Table6[[#This Row],[Date]])</f>
        <v>2025</v>
      </c>
      <c r="D587" s="121" t="s">
        <v>490</v>
      </c>
      <c r="E587" s="135">
        <f>Table6[[#This Row],[Date]]-DAY(Table6[[#This Row],[Date]])+1</f>
        <v>45778</v>
      </c>
      <c r="F587" s="134">
        <v>45797</v>
      </c>
      <c r="G587" s="121" t="s">
        <v>145</v>
      </c>
      <c r="H587" s="39" t="str">
        <f>_xlfn.XLOOKUP(Table6[[#This Row],[Affected WTG]],'Basic Data'!$A:$A,'Basic Data'!$B:$B)</f>
        <v>PWEGPL</v>
      </c>
      <c r="I587" s="39" t="str">
        <f>_xlfn.XLOOKUP(Table6[[#This Row],[Affected WTG]],'Basic Data'!$A:$A,'Basic Data'!$C:$C)</f>
        <v>MSEDCL</v>
      </c>
      <c r="J587" s="363">
        <f>IFERROR(VLOOKUP(Table6[[#This Row],[Affected WTG]],'Basic Data'!$A$3:$E$56,5,0),"")</f>
        <v>2.564102564102564E-2</v>
      </c>
      <c r="K587" s="121">
        <v>5201</v>
      </c>
      <c r="L587" s="39" t="str">
        <f>IFERROR(VLOOKUP(Table6[[#This Row],[Error Code]],'Basic Data'!$T:$U,2,0),"")</f>
        <v>Magnetothermic Trigger Of The Stator Protection</v>
      </c>
      <c r="M587" s="364" t="s">
        <v>462</v>
      </c>
      <c r="O587" s="365">
        <v>0.60069444444444442</v>
      </c>
      <c r="P587" s="365">
        <v>0.63194444444444442</v>
      </c>
      <c r="Q587" s="365">
        <v>0.6333333333333333</v>
      </c>
      <c r="R587" s="366">
        <f>IF(Table6[[#This Row],[Work Start TimeStamp]]="","",(Table6[[#This Row],[Work Start TimeStamp]]-Table6[[#This Row],[Fault Start TimeStamp]])*24)</f>
        <v>0.75</v>
      </c>
      <c r="S587" s="377">
        <f>(Table6[[#This Row],[Fault Clearance time]]-Table6[[#This Row],[Work Start TimeStamp]])*24</f>
        <v>3.3333333333333215E-2</v>
      </c>
      <c r="T587" s="378">
        <f>(Table6[[#This Row],[Fault Clearance time]]-Table6[[#This Row],[Fault Start TimeStamp]])*24</f>
        <v>0.78333333333333321</v>
      </c>
      <c r="U587" s="364" t="s">
        <v>493</v>
      </c>
      <c r="V587" s="364" t="s">
        <v>463</v>
      </c>
      <c r="W587" s="354">
        <f>Table6[[#This Row],[Breakdown Time]]*(1/39)</f>
        <v>2.008547008547008E-2</v>
      </c>
      <c r="X587" s="352" t="s">
        <v>465</v>
      </c>
      <c r="Y587" s="364" t="s">
        <v>139</v>
      </c>
      <c r="Z587" s="121">
        <v>3501</v>
      </c>
      <c r="AA587" s="123">
        <v>114.26874999999998</v>
      </c>
      <c r="AB587" s="121" t="s">
        <v>478</v>
      </c>
    </row>
    <row r="588" spans="1:28">
      <c r="A588" s="121">
        <f t="shared" si="9"/>
        <v>587</v>
      </c>
      <c r="B588" s="123">
        <f>YEAR(Table6[[#This Row],[Date]])+IF(MONTH(Table6[[#This Row],[Date]])&gt;=4,1,0)</f>
        <v>2026</v>
      </c>
      <c r="C588" s="121">
        <f>YEAR(Table6[[#This Row],[Date]])</f>
        <v>2025</v>
      </c>
      <c r="D588" s="121" t="s">
        <v>490</v>
      </c>
      <c r="E588" s="135">
        <f>Table6[[#This Row],[Date]]-DAY(Table6[[#This Row],[Date]])+1</f>
        <v>45778</v>
      </c>
      <c r="F588" s="134">
        <v>45797</v>
      </c>
      <c r="G588" s="121" t="s">
        <v>139</v>
      </c>
      <c r="H588" s="39" t="str">
        <f>_xlfn.XLOOKUP(Table6[[#This Row],[Affected WTG]],'Basic Data'!$A:$A,'Basic Data'!$B:$B)</f>
        <v>PWEGPL</v>
      </c>
      <c r="I588" s="39" t="str">
        <f>_xlfn.XLOOKUP(Table6[[#This Row],[Affected WTG]],'Basic Data'!$A:$A,'Basic Data'!$C:$C)</f>
        <v>MSEDCL</v>
      </c>
      <c r="J588" s="363">
        <f>IFERROR(VLOOKUP(Table6[[#This Row],[Affected WTG]],'Basic Data'!$A$3:$E$56,5,0),"")</f>
        <v>2.564102564102564E-2</v>
      </c>
      <c r="K588" s="121">
        <v>5201</v>
      </c>
      <c r="L588" s="39" t="str">
        <f>IFERROR(VLOOKUP(Table6[[#This Row],[Error Code]],'Basic Data'!$T:$U,2,0),"")</f>
        <v>Magnetothermic Trigger Of The Stator Protection</v>
      </c>
      <c r="M588" s="364" t="s">
        <v>462</v>
      </c>
      <c r="O588" s="365">
        <v>0.60069444444444442</v>
      </c>
      <c r="P588" s="365">
        <v>0.64236111111111116</v>
      </c>
      <c r="Q588" s="365">
        <v>0.64375000000000004</v>
      </c>
      <c r="R588" s="366">
        <f>IF(Table6[[#This Row],[Work Start TimeStamp]]="","",(Table6[[#This Row],[Work Start TimeStamp]]-Table6[[#This Row],[Fault Start TimeStamp]])*24)</f>
        <v>1.0000000000000018</v>
      </c>
      <c r="S588" s="377">
        <f>(Table6[[#This Row],[Fault Clearance time]]-Table6[[#This Row],[Work Start TimeStamp]])*24</f>
        <v>3.3333333333333215E-2</v>
      </c>
      <c r="T588" s="378">
        <f>(Table6[[#This Row],[Fault Clearance time]]-Table6[[#This Row],[Fault Start TimeStamp]])*24</f>
        <v>1.033333333333335</v>
      </c>
      <c r="U588" s="364" t="s">
        <v>493</v>
      </c>
      <c r="V588" s="364" t="s">
        <v>463</v>
      </c>
      <c r="W588" s="354">
        <f>Table6[[#This Row],[Breakdown Time]]*(1/39)</f>
        <v>2.6495726495726537E-2</v>
      </c>
      <c r="X588" s="352" t="s">
        <v>465</v>
      </c>
      <c r="Y588" s="364" t="s">
        <v>153</v>
      </c>
      <c r="Z588" s="121">
        <v>3696</v>
      </c>
      <c r="AA588" s="123">
        <v>159.13333333333358</v>
      </c>
      <c r="AB588" s="121" t="s">
        <v>478</v>
      </c>
    </row>
    <row r="589" spans="1:28">
      <c r="A589" s="121">
        <f t="shared" si="9"/>
        <v>588</v>
      </c>
      <c r="B589" s="123">
        <f>YEAR(Table6[[#This Row],[Date]])+IF(MONTH(Table6[[#This Row],[Date]])&gt;=4,1,0)</f>
        <v>2026</v>
      </c>
      <c r="C589" s="121">
        <f>YEAR(Table6[[#This Row],[Date]])</f>
        <v>2025</v>
      </c>
      <c r="D589" s="121" t="s">
        <v>490</v>
      </c>
      <c r="E589" s="135">
        <f>Table6[[#This Row],[Date]]-DAY(Table6[[#This Row],[Date]])+1</f>
        <v>45778</v>
      </c>
      <c r="F589" s="134">
        <v>45797</v>
      </c>
      <c r="G589" s="121" t="s">
        <v>152</v>
      </c>
      <c r="H589" s="39" t="str">
        <f>_xlfn.XLOOKUP(Table6[[#This Row],[Affected WTG]],'Basic Data'!$A:$A,'Basic Data'!$B:$B)</f>
        <v>PWEGPL</v>
      </c>
      <c r="I589" s="39" t="str">
        <f>_xlfn.XLOOKUP(Table6[[#This Row],[Affected WTG]],'Basic Data'!$A:$A,'Basic Data'!$C:$C)</f>
        <v>MSEDCL</v>
      </c>
      <c r="J589" s="363">
        <f>IFERROR(VLOOKUP(Table6[[#This Row],[Affected WTG]],'Basic Data'!$A$3:$E$56,5,0),"")</f>
        <v>2.564102564102564E-2</v>
      </c>
      <c r="K589" s="121">
        <v>5201</v>
      </c>
      <c r="L589" s="39" t="str">
        <f>IFERROR(VLOOKUP(Table6[[#This Row],[Error Code]],'Basic Data'!$T:$U,2,0),"")</f>
        <v>Magnetothermic Trigger Of The Stator Protection</v>
      </c>
      <c r="M589" s="364" t="s">
        <v>462</v>
      </c>
      <c r="O589" s="365">
        <v>0.60069444444444442</v>
      </c>
      <c r="P589" s="365">
        <v>0.65555555555555556</v>
      </c>
      <c r="Q589" s="365">
        <v>0.65694444444444444</v>
      </c>
      <c r="R589" s="366">
        <f>IF(Table6[[#This Row],[Work Start TimeStamp]]="","",(Table6[[#This Row],[Work Start TimeStamp]]-Table6[[#This Row],[Fault Start TimeStamp]])*24)</f>
        <v>1.3166666666666673</v>
      </c>
      <c r="S589" s="377">
        <f>(Table6[[#This Row],[Fault Clearance time]]-Table6[[#This Row],[Work Start TimeStamp]])*24</f>
        <v>3.3333333333333215E-2</v>
      </c>
      <c r="T589" s="378">
        <f>(Table6[[#This Row],[Fault Clearance time]]-Table6[[#This Row],[Fault Start TimeStamp]])*24</f>
        <v>1.3500000000000005</v>
      </c>
      <c r="U589" s="364" t="s">
        <v>493</v>
      </c>
      <c r="V589" s="364" t="s">
        <v>463</v>
      </c>
      <c r="W589" s="354">
        <f>Table6[[#This Row],[Breakdown Time]]*(1/39)</f>
        <v>3.4615384615384631E-2</v>
      </c>
      <c r="X589" s="352" t="s">
        <v>465</v>
      </c>
      <c r="Y589" s="364" t="s">
        <v>153</v>
      </c>
      <c r="Z589" s="121">
        <v>3696</v>
      </c>
      <c r="AA589" s="123">
        <v>207.90000000000009</v>
      </c>
      <c r="AB589" s="121" t="s">
        <v>478</v>
      </c>
    </row>
    <row r="590" spans="1:28">
      <c r="A590" s="121">
        <f t="shared" si="9"/>
        <v>589</v>
      </c>
      <c r="B590" s="123">
        <f>YEAR(Table6[[#This Row],[Date]])+IF(MONTH(Table6[[#This Row],[Date]])&gt;=4,1,0)</f>
        <v>2026</v>
      </c>
      <c r="C590" s="121">
        <f>YEAR(Table6[[#This Row],[Date]])</f>
        <v>2025</v>
      </c>
      <c r="D590" s="121" t="s">
        <v>490</v>
      </c>
      <c r="E590" s="135">
        <f>Table6[[#This Row],[Date]]-DAY(Table6[[#This Row],[Date]])+1</f>
        <v>45778</v>
      </c>
      <c r="F590" s="134">
        <v>45798</v>
      </c>
      <c r="G590" s="121" t="s">
        <v>144</v>
      </c>
      <c r="H590" s="39" t="str">
        <f>_xlfn.XLOOKUP(Table6[[#This Row],[Affected WTG]],'Basic Data'!$A:$A,'Basic Data'!$B:$B)</f>
        <v>PWEGPL</v>
      </c>
      <c r="I590" s="39" t="str">
        <f>_xlfn.XLOOKUP(Table6[[#This Row],[Affected WTG]],'Basic Data'!$A:$A,'Basic Data'!$C:$C)</f>
        <v>MSEDCL</v>
      </c>
      <c r="J590" s="363">
        <f>IFERROR(VLOOKUP(Table6[[#This Row],[Affected WTG]],'Basic Data'!$A$3:$E$56,5,0),"")</f>
        <v>2.564102564102564E-2</v>
      </c>
      <c r="K590" s="121" t="s">
        <v>492</v>
      </c>
      <c r="L590" s="39" t="str">
        <f>IFERROR(VLOOKUP(Table6[[#This Row],[Error Code]],'Basic Data'!$T:$U,2,0),"")</f>
        <v>Manual Stop - Safety Related</v>
      </c>
      <c r="M590" s="364" t="s">
        <v>481</v>
      </c>
      <c r="O590" s="365">
        <v>0</v>
      </c>
      <c r="P590" s="365">
        <v>0.99930555555555556</v>
      </c>
      <c r="Q590" s="365">
        <v>0.99930555555555556</v>
      </c>
      <c r="R590" s="366">
        <f>IF(Table6[[#This Row],[Work Start TimeStamp]]="","",(Table6[[#This Row],[Work Start TimeStamp]]-Table6[[#This Row],[Fault Start TimeStamp]])*24)</f>
        <v>23.983333333333334</v>
      </c>
      <c r="S590" s="377">
        <f>(Table6[[#This Row],[Fault Clearance time]]-Table6[[#This Row],[Work Start TimeStamp]])*24</f>
        <v>0</v>
      </c>
      <c r="T590" s="378">
        <f>(Table6[[#This Row],[Fault Clearance time]]-Table6[[#This Row],[Fault Start TimeStamp]])*24</f>
        <v>23.983333333333334</v>
      </c>
      <c r="U590" s="364" t="s">
        <v>498</v>
      </c>
      <c r="V590" s="364" t="s">
        <v>473</v>
      </c>
      <c r="W590" s="354">
        <f>Table6[[#This Row],[Breakdown Time]]*(1/39)</f>
        <v>0.61495726495726499</v>
      </c>
      <c r="X590" s="352" t="s">
        <v>468</v>
      </c>
      <c r="Y590" s="364" t="s">
        <v>141</v>
      </c>
      <c r="Z590" s="121">
        <v>5644</v>
      </c>
      <c r="AA590" s="123">
        <v>5640.0805555555553</v>
      </c>
      <c r="AB590" s="121" t="s">
        <v>478</v>
      </c>
    </row>
    <row r="591" spans="1:28">
      <c r="A591" s="121">
        <f t="shared" si="9"/>
        <v>590</v>
      </c>
      <c r="B591" s="123">
        <f>YEAR(Table6[[#This Row],[Date]])+IF(MONTH(Table6[[#This Row],[Date]])&gt;=4,1,0)</f>
        <v>2026</v>
      </c>
      <c r="C591" s="121">
        <f>YEAR(Table6[[#This Row],[Date]])</f>
        <v>2025</v>
      </c>
      <c r="D591" s="121" t="s">
        <v>490</v>
      </c>
      <c r="E591" s="135">
        <f>Table6[[#This Row],[Date]]-DAY(Table6[[#This Row],[Date]])+1</f>
        <v>45778</v>
      </c>
      <c r="F591" s="134">
        <v>45798</v>
      </c>
      <c r="G591" s="121" t="s">
        <v>142</v>
      </c>
      <c r="H591" s="39" t="str">
        <f>_xlfn.XLOOKUP(Table6[[#This Row],[Affected WTG]],'Basic Data'!$A:$A,'Basic Data'!$B:$B)</f>
        <v>PWEGPL</v>
      </c>
      <c r="I591" s="39" t="str">
        <f>_xlfn.XLOOKUP(Table6[[#This Row],[Affected WTG]],'Basic Data'!$A:$A,'Basic Data'!$C:$C)</f>
        <v>MSEDCL</v>
      </c>
      <c r="J591" s="363">
        <f>IFERROR(VLOOKUP(Table6[[#This Row],[Affected WTG]],'Basic Data'!$A$3:$E$56,5,0),"")</f>
        <v>2.564102564102564E-2</v>
      </c>
      <c r="K591" s="121" t="s">
        <v>492</v>
      </c>
      <c r="L591" s="39" t="str">
        <f>IFERROR(VLOOKUP(Table6[[#This Row],[Error Code]],'Basic Data'!$T:$U,2,0),"")</f>
        <v>Manual Stop - Safety Related</v>
      </c>
      <c r="M591" s="364" t="s">
        <v>481</v>
      </c>
      <c r="O591" s="365">
        <v>0</v>
      </c>
      <c r="P591" s="365">
        <v>0.99930555555555556</v>
      </c>
      <c r="Q591" s="365">
        <v>0.99930555555555556</v>
      </c>
      <c r="R591" s="366">
        <f>IF(Table6[[#This Row],[Work Start TimeStamp]]="","",(Table6[[#This Row],[Work Start TimeStamp]]-Table6[[#This Row],[Fault Start TimeStamp]])*24)</f>
        <v>23.983333333333334</v>
      </c>
      <c r="S591" s="377">
        <f>(Table6[[#This Row],[Fault Clearance time]]-Table6[[#This Row],[Work Start TimeStamp]])*24</f>
        <v>0</v>
      </c>
      <c r="T591" s="378">
        <f>(Table6[[#This Row],[Fault Clearance time]]-Table6[[#This Row],[Fault Start TimeStamp]])*24</f>
        <v>23.983333333333334</v>
      </c>
      <c r="U591" s="364" t="s">
        <v>498</v>
      </c>
      <c r="V591" s="364" t="s">
        <v>473</v>
      </c>
      <c r="W591" s="354">
        <f>Table6[[#This Row],[Breakdown Time]]*(1/39)</f>
        <v>0.61495726495726499</v>
      </c>
      <c r="X591" s="352" t="s">
        <v>468</v>
      </c>
      <c r="Y591" s="364" t="s">
        <v>141</v>
      </c>
      <c r="Z591" s="121">
        <v>5644</v>
      </c>
      <c r="AA591" s="123">
        <v>5640.0805555555553</v>
      </c>
      <c r="AB591" s="121" t="s">
        <v>478</v>
      </c>
    </row>
    <row r="592" spans="1:28">
      <c r="A592" s="121">
        <f t="shared" si="9"/>
        <v>591</v>
      </c>
      <c r="B592" s="123">
        <f>YEAR(Table6[[#This Row],[Date]])+IF(MONTH(Table6[[#This Row],[Date]])&gt;=4,1,0)</f>
        <v>2026</v>
      </c>
      <c r="C592" s="121">
        <f>YEAR(Table6[[#This Row],[Date]])</f>
        <v>2025</v>
      </c>
      <c r="D592" s="121" t="s">
        <v>490</v>
      </c>
      <c r="E592" s="135">
        <f>Table6[[#This Row],[Date]]-DAY(Table6[[#This Row],[Date]])+1</f>
        <v>45778</v>
      </c>
      <c r="F592" s="134">
        <v>45798</v>
      </c>
      <c r="G592" s="121" t="s">
        <v>115</v>
      </c>
      <c r="H592" s="39" t="str">
        <f>_xlfn.XLOOKUP(Table6[[#This Row],[Affected WTG]],'Basic Data'!$A:$A,'Basic Data'!$B:$B)</f>
        <v>PWEGPL</v>
      </c>
      <c r="I592" s="39" t="str">
        <f>_xlfn.XLOOKUP(Table6[[#This Row],[Affected WTG]],'Basic Data'!$A:$A,'Basic Data'!$C:$C)</f>
        <v>MSEDCL</v>
      </c>
      <c r="J592" s="363">
        <f>IFERROR(VLOOKUP(Table6[[#This Row],[Affected WTG]],'Basic Data'!$A$3:$E$56,5,0),"")</f>
        <v>2.564102564102564E-2</v>
      </c>
      <c r="K592" s="121" t="s">
        <v>466</v>
      </c>
      <c r="L592" s="39" t="str">
        <f>IFERROR(VLOOKUP(Table6[[#This Row],[Error Code]],'Basic Data'!$T:$U,2,0),"")</f>
        <v>Manual Stop</v>
      </c>
      <c r="M592" s="364" t="s">
        <v>507</v>
      </c>
      <c r="O592" s="365">
        <v>0.49513888888888891</v>
      </c>
      <c r="P592" s="365">
        <v>0.49513888888888891</v>
      </c>
      <c r="Q592" s="365">
        <v>0.53125</v>
      </c>
      <c r="R592" s="366">
        <f>IF(Table6[[#This Row],[Work Start TimeStamp]]="","",(Table6[[#This Row],[Work Start TimeStamp]]-Table6[[#This Row],[Fault Start TimeStamp]])*24)</f>
        <v>0</v>
      </c>
      <c r="S592" s="377">
        <f>(Table6[[#This Row],[Fault Clearance time]]-Table6[[#This Row],[Work Start TimeStamp]])*24</f>
        <v>0.86666666666666625</v>
      </c>
      <c r="T592" s="378">
        <f>(Table6[[#This Row],[Fault Clearance time]]-Table6[[#This Row],[Fault Start TimeStamp]])*24</f>
        <v>0.86666666666666625</v>
      </c>
      <c r="U592" s="364" t="s">
        <v>607</v>
      </c>
      <c r="V592" s="364" t="s">
        <v>463</v>
      </c>
      <c r="W592" s="354">
        <f>Table6[[#This Row],[Breakdown Time]]*(1/39)</f>
        <v>2.2222222222222209E-2</v>
      </c>
      <c r="X592" s="352" t="s">
        <v>464</v>
      </c>
      <c r="Y592" s="364" t="s">
        <v>121</v>
      </c>
      <c r="Z592" s="121">
        <v>5633</v>
      </c>
      <c r="AA592" s="123">
        <v>203.41388888888881</v>
      </c>
      <c r="AB592" s="121" t="s">
        <v>478</v>
      </c>
    </row>
    <row r="593" spans="1:28">
      <c r="A593" s="121">
        <f t="shared" si="9"/>
        <v>592</v>
      </c>
      <c r="B593" s="123">
        <f>YEAR(Table6[[#This Row],[Date]])+IF(MONTH(Table6[[#This Row],[Date]])&gt;=4,1,0)</f>
        <v>2026</v>
      </c>
      <c r="C593" s="121">
        <f>YEAR(Table6[[#This Row],[Date]])</f>
        <v>2025</v>
      </c>
      <c r="D593" s="121" t="s">
        <v>490</v>
      </c>
      <c r="E593" s="135">
        <f>Table6[[#This Row],[Date]]-DAY(Table6[[#This Row],[Date]])+1</f>
        <v>45778</v>
      </c>
      <c r="F593" s="134">
        <v>45798</v>
      </c>
      <c r="G593" s="121" t="s">
        <v>120</v>
      </c>
      <c r="H593" s="39" t="str">
        <f>_xlfn.XLOOKUP(Table6[[#This Row],[Affected WTG]],'Basic Data'!$A:$A,'Basic Data'!$B:$B)</f>
        <v>PWEGPL</v>
      </c>
      <c r="I593" s="39" t="str">
        <f>_xlfn.XLOOKUP(Table6[[#This Row],[Affected WTG]],'Basic Data'!$A:$A,'Basic Data'!$C:$C)</f>
        <v>MSEDCL</v>
      </c>
      <c r="J593" s="363">
        <f>IFERROR(VLOOKUP(Table6[[#This Row],[Affected WTG]],'Basic Data'!$A$3:$E$56,5,0),"")</f>
        <v>2.564102564102564E-2</v>
      </c>
      <c r="K593" s="121">
        <v>5216</v>
      </c>
      <c r="L593" s="39" t="str">
        <f>IFERROR(VLOOKUP(Table6[[#This Row],[Error Code]],'Basic Data'!$T:$U,2,0),"")</f>
        <v>Grid Voltage Failure</v>
      </c>
      <c r="M593" s="364" t="s">
        <v>462</v>
      </c>
      <c r="O593" s="365">
        <v>0.58819444444444446</v>
      </c>
      <c r="P593" s="365">
        <v>0.61875000000000002</v>
      </c>
      <c r="Q593" s="365">
        <v>0.66319444444444442</v>
      </c>
      <c r="R593" s="366">
        <f>IF(Table6[[#This Row],[Work Start TimeStamp]]="","",(Table6[[#This Row],[Work Start TimeStamp]]-Table6[[#This Row],[Fault Start TimeStamp]])*24)</f>
        <v>0.73333333333333339</v>
      </c>
      <c r="S593" s="377">
        <f>(Table6[[#This Row],[Fault Clearance time]]-Table6[[#This Row],[Work Start TimeStamp]])*24</f>
        <v>1.0666666666666655</v>
      </c>
      <c r="T593" s="378">
        <f>(Table6[[#This Row],[Fault Clearance time]]-Table6[[#This Row],[Fault Start TimeStamp]])*24</f>
        <v>1.7999999999999989</v>
      </c>
      <c r="U593" s="364" t="s">
        <v>511</v>
      </c>
      <c r="V593" s="364" t="s">
        <v>463</v>
      </c>
      <c r="W593" s="354">
        <f>Table6[[#This Row],[Breakdown Time]]*(1/39)</f>
        <v>4.6153846153846122E-2</v>
      </c>
      <c r="X593" s="352" t="s">
        <v>465</v>
      </c>
      <c r="Y593" s="364" t="s">
        <v>117</v>
      </c>
      <c r="Z593" s="121">
        <v>5632</v>
      </c>
      <c r="AA593" s="123">
        <v>422.39999999999975</v>
      </c>
      <c r="AB593" s="121" t="s">
        <v>478</v>
      </c>
    </row>
    <row r="594" spans="1:28">
      <c r="A594" s="121">
        <f t="shared" si="9"/>
        <v>593</v>
      </c>
      <c r="B594" s="123">
        <f>YEAR(Table6[[#This Row],[Date]])+IF(MONTH(Table6[[#This Row],[Date]])&gt;=4,1,0)</f>
        <v>2026</v>
      </c>
      <c r="C594" s="121">
        <f>YEAR(Table6[[#This Row],[Date]])</f>
        <v>2025</v>
      </c>
      <c r="D594" s="121" t="s">
        <v>490</v>
      </c>
      <c r="E594" s="135">
        <f>Table6[[#This Row],[Date]]-DAY(Table6[[#This Row],[Date]])+1</f>
        <v>45778</v>
      </c>
      <c r="F594" s="134">
        <v>45798</v>
      </c>
      <c r="G594" s="121" t="s">
        <v>137</v>
      </c>
      <c r="H594" s="39" t="str">
        <f>_xlfn.XLOOKUP(Table6[[#This Row],[Affected WTG]],'Basic Data'!$A:$A,'Basic Data'!$B:$B)</f>
        <v>PWEGPL</v>
      </c>
      <c r="I594" s="39" t="str">
        <f>_xlfn.XLOOKUP(Table6[[#This Row],[Affected WTG]],'Basic Data'!$A:$A,'Basic Data'!$C:$C)</f>
        <v>MSEDCL</v>
      </c>
      <c r="J594" s="363">
        <f>IFERROR(VLOOKUP(Table6[[#This Row],[Affected WTG]],'Basic Data'!$A$3:$E$56,5,0),"")</f>
        <v>2.564102564102564E-2</v>
      </c>
      <c r="K594" s="121" t="s">
        <v>476</v>
      </c>
      <c r="L594" s="39" t="str">
        <f>IFERROR(VLOOKUP(Table6[[#This Row],[Error Code]],'Basic Data'!$T:$U,2,0),"")</f>
        <v>Manual Stop - Preventive Maintenance Activity</v>
      </c>
      <c r="M594" s="364" t="s">
        <v>474</v>
      </c>
      <c r="O594" s="365">
        <v>0.50694444444444442</v>
      </c>
      <c r="P594" s="365">
        <v>0.50694444444444442</v>
      </c>
      <c r="Q594" s="365">
        <v>0.79166666666666663</v>
      </c>
      <c r="R594" s="366">
        <f>IF(Table6[[#This Row],[Work Start TimeStamp]]="","",(Table6[[#This Row],[Work Start TimeStamp]]-Table6[[#This Row],[Fault Start TimeStamp]])*24)</f>
        <v>0</v>
      </c>
      <c r="S594" s="367">
        <f>(Table6[[#This Row],[Fault Clearance time]]-Table6[[#This Row],[Work Start TimeStamp]])*24</f>
        <v>6.833333333333333</v>
      </c>
      <c r="T594" s="368">
        <f>(Table6[[#This Row],[Fault Clearance time]]-Table6[[#This Row],[Fault Start TimeStamp]])*24</f>
        <v>6.833333333333333</v>
      </c>
      <c r="U594" s="364" t="s">
        <v>582</v>
      </c>
      <c r="V594" s="364" t="s">
        <v>463</v>
      </c>
      <c r="W594" s="354">
        <f>Table6[[#This Row],[Breakdown Time]]*(1/39)</f>
        <v>0.1752136752136752</v>
      </c>
      <c r="X594" s="352" t="s">
        <v>467</v>
      </c>
      <c r="Y594" s="364" t="s">
        <v>119</v>
      </c>
      <c r="Z594" s="121">
        <v>5601</v>
      </c>
      <c r="AA594" s="123">
        <v>1594.7291666666665</v>
      </c>
      <c r="AB594" s="121" t="s">
        <v>478</v>
      </c>
    </row>
    <row r="595" spans="1:28">
      <c r="A595" s="121">
        <f t="shared" si="9"/>
        <v>594</v>
      </c>
      <c r="B595" s="123">
        <f>YEAR(Table6[[#This Row],[Date]])+IF(MONTH(Table6[[#This Row],[Date]])&gt;=4,1,0)</f>
        <v>2026</v>
      </c>
      <c r="C595" s="121">
        <f>YEAR(Table6[[#This Row],[Date]])</f>
        <v>2025</v>
      </c>
      <c r="D595" s="121" t="s">
        <v>490</v>
      </c>
      <c r="E595" s="135">
        <f>Table6[[#This Row],[Date]]-DAY(Table6[[#This Row],[Date]])+1</f>
        <v>45778</v>
      </c>
      <c r="F595" s="134">
        <v>45798</v>
      </c>
      <c r="G595" s="121" t="s">
        <v>146</v>
      </c>
      <c r="H595" s="39" t="str">
        <f>_xlfn.XLOOKUP(Table6[[#This Row],[Affected WTG]],'Basic Data'!$A:$A,'Basic Data'!$B:$B)</f>
        <v>PWEGPL</v>
      </c>
      <c r="I595" s="39" t="str">
        <f>_xlfn.XLOOKUP(Table6[[#This Row],[Affected WTG]],'Basic Data'!$A:$A,'Basic Data'!$C:$C)</f>
        <v>MSEDCL</v>
      </c>
      <c r="J595" s="363">
        <f>IFERROR(VLOOKUP(Table6[[#This Row],[Affected WTG]],'Basic Data'!$A$3:$E$56,5,0),"")</f>
        <v>2.564102564102564E-2</v>
      </c>
      <c r="K595" s="121">
        <v>205</v>
      </c>
      <c r="L595" s="39" t="str">
        <f>IFERROR(VLOOKUP(Table6[[#This Row],[Error Code]],'Basic Data'!$T:$U,2,0),"")</f>
        <v>Low Level Hydraulic Group Refrigeration Oil</v>
      </c>
      <c r="M595" s="364" t="s">
        <v>462</v>
      </c>
      <c r="O595" s="365">
        <v>0.75486111111111109</v>
      </c>
      <c r="P595" s="365">
        <v>0.77916666666666667</v>
      </c>
      <c r="Q595" s="365">
        <v>0.90208333333333335</v>
      </c>
      <c r="R595" s="366">
        <f>IF(Table6[[#This Row],[Work Start TimeStamp]]="","",(Table6[[#This Row],[Work Start TimeStamp]]-Table6[[#This Row],[Fault Start TimeStamp]])*24)</f>
        <v>0.58333333333333393</v>
      </c>
      <c r="S595" s="377">
        <f>(Table6[[#This Row],[Fault Clearance time]]-Table6[[#This Row],[Work Start TimeStamp]])*24</f>
        <v>2.95</v>
      </c>
      <c r="T595" s="378">
        <f>(Table6[[#This Row],[Fault Clearance time]]-Table6[[#This Row],[Fault Start TimeStamp]])*24</f>
        <v>3.5333333333333341</v>
      </c>
      <c r="U595" s="364" t="s">
        <v>1010</v>
      </c>
      <c r="V595" s="364" t="s">
        <v>463</v>
      </c>
      <c r="W595" s="354">
        <f>Table6[[#This Row],[Breakdown Time]]*(1/39)</f>
        <v>9.0598290598290609E-2</v>
      </c>
      <c r="X595" s="352" t="s">
        <v>465</v>
      </c>
      <c r="Y595" s="364" t="s">
        <v>147</v>
      </c>
      <c r="Z595" s="121">
        <v>4645</v>
      </c>
      <c r="AA595" s="123">
        <v>683.84722222222229</v>
      </c>
      <c r="AB595" s="121" t="s">
        <v>478</v>
      </c>
    </row>
    <row r="596" spans="1:28">
      <c r="A596" s="121">
        <f t="shared" si="9"/>
        <v>595</v>
      </c>
      <c r="B596" s="123">
        <f>YEAR(Table6[[#This Row],[Date]])+IF(MONTH(Table6[[#This Row],[Date]])&gt;=4,1,0)</f>
        <v>2026</v>
      </c>
      <c r="C596" s="121">
        <f>YEAR(Table6[[#This Row],[Date]])</f>
        <v>2025</v>
      </c>
      <c r="D596" s="121" t="s">
        <v>490</v>
      </c>
      <c r="E596" s="135">
        <f>Table6[[#This Row],[Date]]-DAY(Table6[[#This Row],[Date]])+1</f>
        <v>45778</v>
      </c>
      <c r="F596" s="134">
        <v>45799</v>
      </c>
      <c r="G596" s="121" t="s">
        <v>144</v>
      </c>
      <c r="H596" s="39" t="str">
        <f>_xlfn.XLOOKUP(Table6[[#This Row],[Affected WTG]],'Basic Data'!$A:$A,'Basic Data'!$B:$B)</f>
        <v>PWEGPL</v>
      </c>
      <c r="I596" s="39" t="str">
        <f>_xlfn.XLOOKUP(Table6[[#This Row],[Affected WTG]],'Basic Data'!$A:$A,'Basic Data'!$C:$C)</f>
        <v>MSEDCL</v>
      </c>
      <c r="J596" s="363">
        <f>IFERROR(VLOOKUP(Table6[[#This Row],[Affected WTG]],'Basic Data'!$A$3:$E$56,5,0),"")</f>
        <v>2.564102564102564E-2</v>
      </c>
      <c r="K596" s="121" t="s">
        <v>492</v>
      </c>
      <c r="L596" s="39" t="str">
        <f>IFERROR(VLOOKUP(Table6[[#This Row],[Error Code]],'Basic Data'!$T:$U,2,0),"")</f>
        <v>Manual Stop - Safety Related</v>
      </c>
      <c r="M596" s="364" t="s">
        <v>481</v>
      </c>
      <c r="O596" s="365">
        <v>0</v>
      </c>
      <c r="P596" s="365">
        <v>0.99930555555555556</v>
      </c>
      <c r="Q596" s="365">
        <v>0.99930555555555556</v>
      </c>
      <c r="R596" s="366">
        <f>IF(Table6[[#This Row],[Work Start TimeStamp]]="","",(Table6[[#This Row],[Work Start TimeStamp]]-Table6[[#This Row],[Fault Start TimeStamp]])*24)</f>
        <v>23.983333333333334</v>
      </c>
      <c r="S596" s="377">
        <f>(Table6[[#This Row],[Fault Clearance time]]-Table6[[#This Row],[Work Start TimeStamp]])*24</f>
        <v>0</v>
      </c>
      <c r="T596" s="378">
        <f>(Table6[[#This Row],[Fault Clearance time]]-Table6[[#This Row],[Fault Start TimeStamp]])*24</f>
        <v>23.983333333333334</v>
      </c>
      <c r="U596" s="364" t="s">
        <v>498</v>
      </c>
      <c r="V596" s="364" t="s">
        <v>473</v>
      </c>
      <c r="W596" s="354">
        <f>Table6[[#This Row],[Breakdown Time]]*(1/39)</f>
        <v>0.61495726495726499</v>
      </c>
      <c r="X596" s="352" t="s">
        <v>468</v>
      </c>
      <c r="Y596" s="364" t="s">
        <v>141</v>
      </c>
      <c r="Z596" s="121">
        <v>8852</v>
      </c>
      <c r="AA596" s="123">
        <v>8845.8527777777781</v>
      </c>
      <c r="AB596" s="121" t="s">
        <v>478</v>
      </c>
    </row>
    <row r="597" spans="1:28">
      <c r="A597" s="121">
        <f t="shared" si="9"/>
        <v>596</v>
      </c>
      <c r="B597" s="123">
        <f>YEAR(Table6[[#This Row],[Date]])+IF(MONTH(Table6[[#This Row],[Date]])&gt;=4,1,0)</f>
        <v>2026</v>
      </c>
      <c r="C597" s="121">
        <f>YEAR(Table6[[#This Row],[Date]])</f>
        <v>2025</v>
      </c>
      <c r="D597" s="121" t="s">
        <v>490</v>
      </c>
      <c r="E597" s="135">
        <f>Table6[[#This Row],[Date]]-DAY(Table6[[#This Row],[Date]])+1</f>
        <v>45778</v>
      </c>
      <c r="F597" s="134">
        <v>45799</v>
      </c>
      <c r="G597" s="121" t="s">
        <v>142</v>
      </c>
      <c r="H597" s="39" t="str">
        <f>_xlfn.XLOOKUP(Table6[[#This Row],[Affected WTG]],'Basic Data'!$A:$A,'Basic Data'!$B:$B)</f>
        <v>PWEGPL</v>
      </c>
      <c r="I597" s="39" t="str">
        <f>_xlfn.XLOOKUP(Table6[[#This Row],[Affected WTG]],'Basic Data'!$A:$A,'Basic Data'!$C:$C)</f>
        <v>MSEDCL</v>
      </c>
      <c r="J597" s="363">
        <f>IFERROR(VLOOKUP(Table6[[#This Row],[Affected WTG]],'Basic Data'!$A$3:$E$56,5,0),"")</f>
        <v>2.564102564102564E-2</v>
      </c>
      <c r="K597" s="121" t="s">
        <v>492</v>
      </c>
      <c r="L597" s="39" t="str">
        <f>IFERROR(VLOOKUP(Table6[[#This Row],[Error Code]],'Basic Data'!$T:$U,2,0),"")</f>
        <v>Manual Stop - Safety Related</v>
      </c>
      <c r="M597" s="364" t="s">
        <v>481</v>
      </c>
      <c r="O597" s="365">
        <v>0</v>
      </c>
      <c r="P597" s="365">
        <v>0.99930555555555556</v>
      </c>
      <c r="Q597" s="365">
        <v>0.99930555555555556</v>
      </c>
      <c r="R597" s="366">
        <f>IF(Table6[[#This Row],[Work Start TimeStamp]]="","",(Table6[[#This Row],[Work Start TimeStamp]]-Table6[[#This Row],[Fault Start TimeStamp]])*24)</f>
        <v>23.983333333333334</v>
      </c>
      <c r="S597" s="377">
        <f>(Table6[[#This Row],[Fault Clearance time]]-Table6[[#This Row],[Work Start TimeStamp]])*24</f>
        <v>0</v>
      </c>
      <c r="T597" s="378">
        <f>(Table6[[#This Row],[Fault Clearance time]]-Table6[[#This Row],[Fault Start TimeStamp]])*24</f>
        <v>23.983333333333334</v>
      </c>
      <c r="U597" s="364" t="s">
        <v>498</v>
      </c>
      <c r="V597" s="364" t="s">
        <v>473</v>
      </c>
      <c r="W597" s="354">
        <f>Table6[[#This Row],[Breakdown Time]]*(1/39)</f>
        <v>0.61495726495726499</v>
      </c>
      <c r="X597" s="352" t="s">
        <v>468</v>
      </c>
      <c r="Y597" s="364" t="s">
        <v>141</v>
      </c>
      <c r="Z597" s="121">
        <v>8852</v>
      </c>
      <c r="AA597" s="123">
        <v>8845.8527777777781</v>
      </c>
      <c r="AB597" s="121" t="s">
        <v>478</v>
      </c>
    </row>
    <row r="598" spans="1:28">
      <c r="A598" s="121">
        <f t="shared" si="9"/>
        <v>597</v>
      </c>
      <c r="B598" s="123">
        <f>YEAR(Table6[[#This Row],[Date]])+IF(MONTH(Table6[[#This Row],[Date]])&gt;=4,1,0)</f>
        <v>2026</v>
      </c>
      <c r="C598" s="121">
        <f>YEAR(Table6[[#This Row],[Date]])</f>
        <v>2025</v>
      </c>
      <c r="D598" s="121" t="s">
        <v>490</v>
      </c>
      <c r="E598" s="135">
        <f>Table6[[#This Row],[Date]]-DAY(Table6[[#This Row],[Date]])+1</f>
        <v>45778</v>
      </c>
      <c r="F598" s="134">
        <v>45799</v>
      </c>
      <c r="G598" s="121" t="s">
        <v>117</v>
      </c>
      <c r="H598" s="39" t="str">
        <f>_xlfn.XLOOKUP(Table6[[#This Row],[Affected WTG]],'Basic Data'!$A:$A,'Basic Data'!$B:$B)</f>
        <v>PWEGPL</v>
      </c>
      <c r="I598" s="39" t="str">
        <f>_xlfn.XLOOKUP(Table6[[#This Row],[Affected WTG]],'Basic Data'!$A:$A,'Basic Data'!$C:$C)</f>
        <v>MSEDCL</v>
      </c>
      <c r="J598" s="363">
        <f>IFERROR(VLOOKUP(Table6[[#This Row],[Affected WTG]],'Basic Data'!$A$3:$E$56,5,0),"")</f>
        <v>2.564102564102564E-2</v>
      </c>
      <c r="K598" s="121" t="s">
        <v>466</v>
      </c>
      <c r="L598" s="39" t="str">
        <f>IFERROR(VLOOKUP(Table6[[#This Row],[Error Code]],'Basic Data'!$T:$U,2,0),"")</f>
        <v>Manual Stop</v>
      </c>
      <c r="M598" s="364" t="s">
        <v>507</v>
      </c>
      <c r="O598" s="365">
        <v>0.65069444444444446</v>
      </c>
      <c r="P598" s="365">
        <v>0.65069444444444446</v>
      </c>
      <c r="Q598" s="365">
        <v>0.71180555555555558</v>
      </c>
      <c r="R598" s="366">
        <f>IF(Table6[[#This Row],[Work Start TimeStamp]]="","",(Table6[[#This Row],[Work Start TimeStamp]]-Table6[[#This Row],[Fault Start TimeStamp]])*24)</f>
        <v>0</v>
      </c>
      <c r="S598" s="377">
        <f>(Table6[[#This Row],[Fault Clearance time]]-Table6[[#This Row],[Work Start TimeStamp]])*24</f>
        <v>1.4666666666666668</v>
      </c>
      <c r="T598" s="378">
        <f>(Table6[[#This Row],[Fault Clearance time]]-Table6[[#This Row],[Fault Start TimeStamp]])*24</f>
        <v>1.4666666666666668</v>
      </c>
      <c r="U598" s="364" t="s">
        <v>607</v>
      </c>
      <c r="V598" s="364" t="s">
        <v>463</v>
      </c>
      <c r="W598" s="354">
        <f>Table6[[#This Row],[Breakdown Time]]*(1/39)</f>
        <v>3.7606837606837612E-2</v>
      </c>
      <c r="X598" s="352" t="s">
        <v>464</v>
      </c>
      <c r="Y598" s="364" t="s">
        <v>118</v>
      </c>
      <c r="Z598" s="121">
        <v>6263</v>
      </c>
      <c r="AA598" s="123">
        <v>382.73888888888888</v>
      </c>
      <c r="AB598" s="121" t="s">
        <v>478</v>
      </c>
    </row>
    <row r="599" spans="1:28">
      <c r="A599" s="121">
        <f t="shared" si="9"/>
        <v>598</v>
      </c>
      <c r="B599" s="123">
        <f>YEAR(Table6[[#This Row],[Date]])+IF(MONTH(Table6[[#This Row],[Date]])&gt;=4,1,0)</f>
        <v>2026</v>
      </c>
      <c r="C599" s="121">
        <f>YEAR(Table6[[#This Row],[Date]])</f>
        <v>2025</v>
      </c>
      <c r="D599" s="121" t="s">
        <v>490</v>
      </c>
      <c r="E599" s="135">
        <f>Table6[[#This Row],[Date]]-DAY(Table6[[#This Row],[Date]])+1</f>
        <v>45778</v>
      </c>
      <c r="F599" s="134">
        <v>45799</v>
      </c>
      <c r="G599" s="121" t="s">
        <v>118</v>
      </c>
      <c r="H599" s="39" t="str">
        <f>_xlfn.XLOOKUP(Table6[[#This Row],[Affected WTG]],'Basic Data'!$A:$A,'Basic Data'!$B:$B)</f>
        <v>PWEGPL</v>
      </c>
      <c r="I599" s="39" t="str">
        <f>_xlfn.XLOOKUP(Table6[[#This Row],[Affected WTG]],'Basic Data'!$A:$A,'Basic Data'!$C:$C)</f>
        <v>MSEDCL</v>
      </c>
      <c r="J599" s="363">
        <f>IFERROR(VLOOKUP(Table6[[#This Row],[Affected WTG]],'Basic Data'!$A$3:$E$56,5,0),"")</f>
        <v>2.564102564102564E-2</v>
      </c>
      <c r="K599" s="121" t="s">
        <v>466</v>
      </c>
      <c r="L599" s="39" t="str">
        <f>IFERROR(VLOOKUP(Table6[[#This Row],[Error Code]],'Basic Data'!$T:$U,2,0),"")</f>
        <v>Manual Stop</v>
      </c>
      <c r="M599" s="364" t="s">
        <v>507</v>
      </c>
      <c r="O599" s="365">
        <v>0.60763888888888884</v>
      </c>
      <c r="P599" s="365">
        <v>0.60763888888888884</v>
      </c>
      <c r="Q599" s="365">
        <v>0.64236111111111116</v>
      </c>
      <c r="R599" s="366">
        <f>IF(Table6[[#This Row],[Work Start TimeStamp]]="","",(Table6[[#This Row],[Work Start TimeStamp]]-Table6[[#This Row],[Fault Start TimeStamp]])*24)</f>
        <v>0</v>
      </c>
      <c r="S599" s="377">
        <f>(Table6[[#This Row],[Fault Clearance time]]-Table6[[#This Row],[Work Start TimeStamp]])*24</f>
        <v>0.8333333333333357</v>
      </c>
      <c r="T599" s="378">
        <f>(Table6[[#This Row],[Fault Clearance time]]-Table6[[#This Row],[Fault Start TimeStamp]])*24</f>
        <v>0.8333333333333357</v>
      </c>
      <c r="U599" s="364" t="s">
        <v>607</v>
      </c>
      <c r="V599" s="364" t="s">
        <v>463</v>
      </c>
      <c r="W599" s="354">
        <f>Table6[[#This Row],[Breakdown Time]]*(1/39)</f>
        <v>2.1367521367521427E-2</v>
      </c>
      <c r="X599" s="352" t="s">
        <v>464</v>
      </c>
      <c r="Y599" s="364" t="s">
        <v>117</v>
      </c>
      <c r="Z599" s="121">
        <v>6279</v>
      </c>
      <c r="AA599" s="123">
        <v>218.02083333333394</v>
      </c>
      <c r="AB599" s="121" t="s">
        <v>478</v>
      </c>
    </row>
    <row r="600" spans="1:28">
      <c r="A600" s="121">
        <f t="shared" si="9"/>
        <v>599</v>
      </c>
      <c r="B600" s="123">
        <f>YEAR(Table6[[#This Row],[Date]])+IF(MONTH(Table6[[#This Row],[Date]])&gt;=4,1,0)</f>
        <v>2026</v>
      </c>
      <c r="C600" s="121">
        <f>YEAR(Table6[[#This Row],[Date]])</f>
        <v>2025</v>
      </c>
      <c r="D600" s="121" t="s">
        <v>490</v>
      </c>
      <c r="E600" s="135">
        <f>Table6[[#This Row],[Date]]-DAY(Table6[[#This Row],[Date]])+1</f>
        <v>45778</v>
      </c>
      <c r="F600" s="134">
        <v>45799</v>
      </c>
      <c r="G600" s="121" t="s">
        <v>119</v>
      </c>
      <c r="H600" s="39" t="str">
        <f>_xlfn.XLOOKUP(Table6[[#This Row],[Affected WTG]],'Basic Data'!$A:$A,'Basic Data'!$B:$B)</f>
        <v>PWEGPL</v>
      </c>
      <c r="I600" s="39" t="str">
        <f>_xlfn.XLOOKUP(Table6[[#This Row],[Affected WTG]],'Basic Data'!$A:$A,'Basic Data'!$C:$C)</f>
        <v>MSEDCL</v>
      </c>
      <c r="J600" s="363">
        <f>IFERROR(VLOOKUP(Table6[[#This Row],[Affected WTG]],'Basic Data'!$A$3:$E$56,5,0),"")</f>
        <v>2.564102564102564E-2</v>
      </c>
      <c r="K600" s="121" t="s">
        <v>476</v>
      </c>
      <c r="L600" s="39" t="str">
        <f>IFERROR(VLOOKUP(Table6[[#This Row],[Error Code]],'Basic Data'!$T:$U,2,0),"")</f>
        <v>Manual Stop - Preventive Maintenance Activity</v>
      </c>
      <c r="M600" s="364" t="s">
        <v>474</v>
      </c>
      <c r="O600" s="365">
        <v>0.49375000000000002</v>
      </c>
      <c r="P600" s="365">
        <v>0.49375000000000002</v>
      </c>
      <c r="Q600" s="365">
        <v>0.75763888888888886</v>
      </c>
      <c r="R600" s="366">
        <f>IF(Table6[[#This Row],[Work Start TimeStamp]]="","",(Table6[[#This Row],[Work Start TimeStamp]]-Table6[[#This Row],[Fault Start TimeStamp]])*24)</f>
        <v>0</v>
      </c>
      <c r="S600" s="367">
        <f>(Table6[[#This Row],[Fault Clearance time]]-Table6[[#This Row],[Work Start TimeStamp]])*24</f>
        <v>6.3333333333333321</v>
      </c>
      <c r="T600" s="368">
        <f>(Table6[[#This Row],[Fault Clearance time]]-Table6[[#This Row],[Fault Start TimeStamp]])*24</f>
        <v>6.3333333333333321</v>
      </c>
      <c r="U600" s="364" t="s">
        <v>582</v>
      </c>
      <c r="V600" s="364" t="s">
        <v>463</v>
      </c>
      <c r="W600" s="354">
        <f>Table6[[#This Row],[Breakdown Time]]*(1/39)</f>
        <v>0.16239316239316234</v>
      </c>
      <c r="X600" s="352" t="s">
        <v>467</v>
      </c>
      <c r="Y600" s="364" t="s">
        <v>136</v>
      </c>
      <c r="Z600" s="121">
        <v>8842</v>
      </c>
      <c r="AA600" s="123">
        <v>2333.3055555555552</v>
      </c>
      <c r="AB600" s="121" t="s">
        <v>478</v>
      </c>
    </row>
    <row r="601" spans="1:28">
      <c r="A601" s="121">
        <f t="shared" si="9"/>
        <v>600</v>
      </c>
      <c r="B601" s="123">
        <f>YEAR(Table6[[#This Row],[Date]])+IF(MONTH(Table6[[#This Row],[Date]])&gt;=4,1,0)</f>
        <v>2026</v>
      </c>
      <c r="C601" s="121">
        <f>YEAR(Table6[[#This Row],[Date]])</f>
        <v>2025</v>
      </c>
      <c r="D601" s="121" t="s">
        <v>490</v>
      </c>
      <c r="E601" s="135">
        <f>Table6[[#This Row],[Date]]-DAY(Table6[[#This Row],[Date]])+1</f>
        <v>45778</v>
      </c>
      <c r="F601" s="134">
        <v>45799</v>
      </c>
      <c r="G601" s="121" t="s">
        <v>145</v>
      </c>
      <c r="H601" s="39" t="str">
        <f>_xlfn.XLOOKUP(Table6[[#This Row],[Affected WTG]],'Basic Data'!$A:$A,'Basic Data'!$B:$B)</f>
        <v>PWEGPL</v>
      </c>
      <c r="I601" s="39" t="str">
        <f>_xlfn.XLOOKUP(Table6[[#This Row],[Affected WTG]],'Basic Data'!$A:$A,'Basic Data'!$C:$C)</f>
        <v>MSEDCL</v>
      </c>
      <c r="J601" s="363">
        <f>IFERROR(VLOOKUP(Table6[[#This Row],[Affected WTG]],'Basic Data'!$A$3:$E$56,5,0),"")</f>
        <v>2.564102564102564E-2</v>
      </c>
      <c r="K601" s="121">
        <v>2118</v>
      </c>
      <c r="L601" s="39" t="str">
        <f>IFERROR(VLOOKUP(Table6[[#This Row],[Error Code]],'Basic Data'!$T:$U,2,0),"")</f>
        <v>Bus Error - Interbus Failure</v>
      </c>
      <c r="M601" s="364" t="s">
        <v>462</v>
      </c>
      <c r="O601" s="365">
        <v>0.52083333333333337</v>
      </c>
      <c r="P601" s="365">
        <v>0.5625</v>
      </c>
      <c r="Q601" s="365">
        <v>0.56388888888888888</v>
      </c>
      <c r="R601" s="366">
        <f>IF(Table6[[#This Row],[Work Start TimeStamp]]="","",(Table6[[#This Row],[Work Start TimeStamp]]-Table6[[#This Row],[Fault Start TimeStamp]])*24)</f>
        <v>0.99999999999999911</v>
      </c>
      <c r="S601" s="377">
        <f>(Table6[[#This Row],[Fault Clearance time]]-Table6[[#This Row],[Work Start TimeStamp]])*24</f>
        <v>3.3333333333333215E-2</v>
      </c>
      <c r="T601" s="378">
        <f>(Table6[[#This Row],[Fault Clearance time]]-Table6[[#This Row],[Fault Start TimeStamp]])*24</f>
        <v>1.0333333333333323</v>
      </c>
      <c r="U601" s="364" t="s">
        <v>493</v>
      </c>
      <c r="V601" s="364" t="s">
        <v>463</v>
      </c>
      <c r="W601" s="354">
        <f>Table6[[#This Row],[Breakdown Time]]*(1/39)</f>
        <v>2.6495726495726468E-2</v>
      </c>
      <c r="X601" s="352" t="s">
        <v>465</v>
      </c>
      <c r="Y601" s="364" t="s">
        <v>139</v>
      </c>
      <c r="Z601" s="121">
        <v>6041</v>
      </c>
      <c r="AA601" s="123">
        <v>260.09861111111087</v>
      </c>
      <c r="AB601" s="121" t="s">
        <v>478</v>
      </c>
    </row>
    <row r="602" spans="1:28">
      <c r="A602" s="121">
        <f t="shared" si="9"/>
        <v>601</v>
      </c>
      <c r="B602" s="123">
        <f>YEAR(Table6[[#This Row],[Date]])+IF(MONTH(Table6[[#This Row],[Date]])&gt;=4,1,0)</f>
        <v>2026</v>
      </c>
      <c r="C602" s="121">
        <f>YEAR(Table6[[#This Row],[Date]])</f>
        <v>2025</v>
      </c>
      <c r="D602" s="121" t="s">
        <v>490</v>
      </c>
      <c r="E602" s="135">
        <f>Table6[[#This Row],[Date]]-DAY(Table6[[#This Row],[Date]])+1</f>
        <v>45778</v>
      </c>
      <c r="F602" s="134">
        <v>45799</v>
      </c>
      <c r="G602" s="121" t="s">
        <v>151</v>
      </c>
      <c r="H602" s="39" t="str">
        <f>_xlfn.XLOOKUP(Table6[[#This Row],[Affected WTG]],'Basic Data'!$A:$A,'Basic Data'!$B:$B)</f>
        <v>PWEGPL</v>
      </c>
      <c r="I602" s="39" t="str">
        <f>_xlfn.XLOOKUP(Table6[[#This Row],[Affected WTG]],'Basic Data'!$A:$A,'Basic Data'!$C:$C)</f>
        <v>MSEDCL</v>
      </c>
      <c r="J602" s="363">
        <f>IFERROR(VLOOKUP(Table6[[#This Row],[Affected WTG]],'Basic Data'!$A$3:$E$56,5,0),"")</f>
        <v>2.564102564102564E-2</v>
      </c>
      <c r="K602" s="121" t="s">
        <v>466</v>
      </c>
      <c r="L602" s="39" t="str">
        <f>IFERROR(VLOOKUP(Table6[[#This Row],[Error Code]],'Basic Data'!$T:$U,2,0),"")</f>
        <v>Manual Stop</v>
      </c>
      <c r="M602" s="364" t="s">
        <v>479</v>
      </c>
      <c r="O602" s="365">
        <v>0.46111111111111114</v>
      </c>
      <c r="P602" s="365">
        <v>0.46111111111111114</v>
      </c>
      <c r="Q602" s="365">
        <v>0.55138888888888893</v>
      </c>
      <c r="R602" s="366">
        <f>IF(Table6[[#This Row],[Work Start TimeStamp]]="","",(Table6[[#This Row],[Work Start TimeStamp]]-Table6[[#This Row],[Fault Start TimeStamp]])*24)</f>
        <v>0</v>
      </c>
      <c r="S602" s="377">
        <f>(Table6[[#This Row],[Fault Clearance time]]-Table6[[#This Row],[Work Start TimeStamp]])*24</f>
        <v>2.166666666666667</v>
      </c>
      <c r="T602" s="378">
        <f>(Table6[[#This Row],[Fault Clearance time]]-Table6[[#This Row],[Fault Start TimeStamp]])*24</f>
        <v>2.166666666666667</v>
      </c>
      <c r="U602" s="364" t="s">
        <v>1164</v>
      </c>
      <c r="V602" s="364" t="s">
        <v>463</v>
      </c>
      <c r="W602" s="354">
        <f>Table6[[#This Row],[Breakdown Time]]*(1/39)</f>
        <v>5.5555555555555559E-2</v>
      </c>
      <c r="X602" s="352" t="s">
        <v>464</v>
      </c>
      <c r="Y602" s="364" t="s">
        <v>152</v>
      </c>
      <c r="Z602" s="121">
        <v>6049</v>
      </c>
      <c r="AA602" s="123">
        <v>546.09027777777783</v>
      </c>
      <c r="AB602" s="121" t="s">
        <v>478</v>
      </c>
    </row>
    <row r="603" spans="1:28">
      <c r="A603" s="121">
        <f t="shared" si="9"/>
        <v>602</v>
      </c>
      <c r="B603" s="123">
        <f>YEAR(Table6[[#This Row],[Date]])+IF(MONTH(Table6[[#This Row],[Date]])&gt;=4,1,0)</f>
        <v>2026</v>
      </c>
      <c r="C603" s="121">
        <f>YEAR(Table6[[#This Row],[Date]])</f>
        <v>2025</v>
      </c>
      <c r="D603" s="121" t="s">
        <v>490</v>
      </c>
      <c r="E603" s="135">
        <f>Table6[[#This Row],[Date]]-DAY(Table6[[#This Row],[Date]])+1</f>
        <v>45778</v>
      </c>
      <c r="F603" s="134">
        <v>45800</v>
      </c>
      <c r="G603" s="121" t="s">
        <v>144</v>
      </c>
      <c r="H603" s="39" t="str">
        <f>_xlfn.XLOOKUP(Table6[[#This Row],[Affected WTG]],'Basic Data'!$A:$A,'Basic Data'!$B:$B)</f>
        <v>PWEGPL</v>
      </c>
      <c r="I603" s="39" t="str">
        <f>_xlfn.XLOOKUP(Table6[[#This Row],[Affected WTG]],'Basic Data'!$A:$A,'Basic Data'!$C:$C)</f>
        <v>MSEDCL</v>
      </c>
      <c r="J603" s="363">
        <f>IFERROR(VLOOKUP(Table6[[#This Row],[Affected WTG]],'Basic Data'!$A$3:$E$56,5,0),"")</f>
        <v>2.564102564102564E-2</v>
      </c>
      <c r="K603" s="121" t="s">
        <v>492</v>
      </c>
      <c r="L603" s="39" t="str">
        <f>IFERROR(VLOOKUP(Table6[[#This Row],[Error Code]],'Basic Data'!$T:$U,2,0),"")</f>
        <v>Manual Stop - Safety Related</v>
      </c>
      <c r="M603" s="364" t="s">
        <v>481</v>
      </c>
      <c r="O603" s="365">
        <v>0</v>
      </c>
      <c r="P603" s="365">
        <v>0.99930555555555556</v>
      </c>
      <c r="Q603" s="365">
        <v>0.99930555555555556</v>
      </c>
      <c r="R603" s="366">
        <f>IF(Table6[[#This Row],[Work Start TimeStamp]]="","",(Table6[[#This Row],[Work Start TimeStamp]]-Table6[[#This Row],[Fault Start TimeStamp]])*24)</f>
        <v>23.983333333333334</v>
      </c>
      <c r="S603" s="377">
        <f>(Table6[[#This Row],[Fault Clearance time]]-Table6[[#This Row],[Work Start TimeStamp]])*24</f>
        <v>0</v>
      </c>
      <c r="T603" s="378">
        <f>(Table6[[#This Row],[Fault Clearance time]]-Table6[[#This Row],[Fault Start TimeStamp]])*24</f>
        <v>23.983333333333334</v>
      </c>
      <c r="U603" s="364" t="s">
        <v>498</v>
      </c>
      <c r="V603" s="364" t="s">
        <v>473</v>
      </c>
      <c r="W603" s="354">
        <f>Table6[[#This Row],[Breakdown Time]]*(1/39)</f>
        <v>0.61495726495726499</v>
      </c>
      <c r="X603" s="352" t="s">
        <v>468</v>
      </c>
      <c r="Y603" s="364" t="s">
        <v>141</v>
      </c>
      <c r="Z603" s="121">
        <v>2038</v>
      </c>
      <c r="AA603" s="123">
        <v>2036.5847222222224</v>
      </c>
      <c r="AB603" s="121" t="s">
        <v>478</v>
      </c>
    </row>
    <row r="604" spans="1:28">
      <c r="A604" s="121">
        <f t="shared" si="9"/>
        <v>603</v>
      </c>
      <c r="B604" s="123">
        <f>YEAR(Table6[[#This Row],[Date]])+IF(MONTH(Table6[[#This Row],[Date]])&gt;=4,1,0)</f>
        <v>2026</v>
      </c>
      <c r="C604" s="121">
        <f>YEAR(Table6[[#This Row],[Date]])</f>
        <v>2025</v>
      </c>
      <c r="D604" s="121" t="s">
        <v>490</v>
      </c>
      <c r="E604" s="135">
        <f>Table6[[#This Row],[Date]]-DAY(Table6[[#This Row],[Date]])+1</f>
        <v>45778</v>
      </c>
      <c r="F604" s="134">
        <v>45800</v>
      </c>
      <c r="G604" s="121" t="s">
        <v>142</v>
      </c>
      <c r="H604" s="39" t="str">
        <f>_xlfn.XLOOKUP(Table6[[#This Row],[Affected WTG]],'Basic Data'!$A:$A,'Basic Data'!$B:$B)</f>
        <v>PWEGPL</v>
      </c>
      <c r="I604" s="39" t="str">
        <f>_xlfn.XLOOKUP(Table6[[#This Row],[Affected WTG]],'Basic Data'!$A:$A,'Basic Data'!$C:$C)</f>
        <v>MSEDCL</v>
      </c>
      <c r="J604" s="363">
        <f>IFERROR(VLOOKUP(Table6[[#This Row],[Affected WTG]],'Basic Data'!$A$3:$E$56,5,0),"")</f>
        <v>2.564102564102564E-2</v>
      </c>
      <c r="K604" s="121" t="s">
        <v>492</v>
      </c>
      <c r="L604" s="39" t="str">
        <f>IFERROR(VLOOKUP(Table6[[#This Row],[Error Code]],'Basic Data'!$T:$U,2,0),"")</f>
        <v>Manual Stop - Safety Related</v>
      </c>
      <c r="M604" s="364" t="s">
        <v>481</v>
      </c>
      <c r="O604" s="365">
        <v>0</v>
      </c>
      <c r="P604" s="365">
        <v>0.99930555555555556</v>
      </c>
      <c r="Q604" s="365">
        <v>0.99930555555555556</v>
      </c>
      <c r="R604" s="366">
        <f>IF(Table6[[#This Row],[Work Start TimeStamp]]="","",(Table6[[#This Row],[Work Start TimeStamp]]-Table6[[#This Row],[Fault Start TimeStamp]])*24)</f>
        <v>23.983333333333334</v>
      </c>
      <c r="S604" s="377">
        <f>(Table6[[#This Row],[Fault Clearance time]]-Table6[[#This Row],[Work Start TimeStamp]])*24</f>
        <v>0</v>
      </c>
      <c r="T604" s="378">
        <f>(Table6[[#This Row],[Fault Clearance time]]-Table6[[#This Row],[Fault Start TimeStamp]])*24</f>
        <v>23.983333333333334</v>
      </c>
      <c r="U604" s="364" t="s">
        <v>498</v>
      </c>
      <c r="V604" s="364" t="s">
        <v>473</v>
      </c>
      <c r="W604" s="354">
        <f>Table6[[#This Row],[Breakdown Time]]*(1/39)</f>
        <v>0.61495726495726499</v>
      </c>
      <c r="X604" s="352" t="s">
        <v>468</v>
      </c>
      <c r="Y604" s="364" t="s">
        <v>141</v>
      </c>
      <c r="Z604" s="121">
        <v>2038</v>
      </c>
      <c r="AA604" s="123">
        <v>2036.5847222222224</v>
      </c>
      <c r="AB604" s="121" t="s">
        <v>478</v>
      </c>
    </row>
    <row r="605" spans="1:28">
      <c r="A605" s="121">
        <f t="shared" si="9"/>
        <v>604</v>
      </c>
      <c r="B605" s="123">
        <f>YEAR(Table6[[#This Row],[Date]])+IF(MONTH(Table6[[#This Row],[Date]])&gt;=4,1,0)</f>
        <v>2026</v>
      </c>
      <c r="C605" s="121">
        <f>YEAR(Table6[[#This Row],[Date]])</f>
        <v>2025</v>
      </c>
      <c r="D605" s="121" t="s">
        <v>490</v>
      </c>
      <c r="E605" s="135">
        <f>Table6[[#This Row],[Date]]-DAY(Table6[[#This Row],[Date]])+1</f>
        <v>45778</v>
      </c>
      <c r="F605" s="134">
        <v>45800</v>
      </c>
      <c r="G605" s="121" t="s">
        <v>125</v>
      </c>
      <c r="H605" s="39" t="str">
        <f>_xlfn.XLOOKUP(Table6[[#This Row],[Affected WTG]],'Basic Data'!$A:$A,'Basic Data'!$B:$B)</f>
        <v>PWEGPL</v>
      </c>
      <c r="I605" s="39" t="str">
        <f>_xlfn.XLOOKUP(Table6[[#This Row],[Affected WTG]],'Basic Data'!$A:$A,'Basic Data'!$C:$C)</f>
        <v>MSEDCL</v>
      </c>
      <c r="J605" s="363">
        <f>IFERROR(VLOOKUP(Table6[[#This Row],[Affected WTG]],'Basic Data'!$A$3:$E$56,5,0),"")</f>
        <v>2.564102564102564E-2</v>
      </c>
      <c r="K605" s="121">
        <v>2118</v>
      </c>
      <c r="L605" s="39" t="str">
        <f>IFERROR(VLOOKUP(Table6[[#This Row],[Error Code]],'Basic Data'!$T:$U,2,0),"")</f>
        <v>Bus Error - Interbus Failure</v>
      </c>
      <c r="M605" s="364" t="s">
        <v>462</v>
      </c>
      <c r="O605" s="365">
        <v>0.62291666666666667</v>
      </c>
      <c r="P605" s="365">
        <v>0.65416666666666667</v>
      </c>
      <c r="Q605" s="365">
        <v>0.65625</v>
      </c>
      <c r="R605" s="366">
        <f>IF(Table6[[#This Row],[Work Start TimeStamp]]="","",(Table6[[#This Row],[Work Start TimeStamp]]-Table6[[#This Row],[Fault Start TimeStamp]])*24)</f>
        <v>0.75</v>
      </c>
      <c r="S605" s="377">
        <f>(Table6[[#This Row],[Fault Clearance time]]-Table6[[#This Row],[Work Start TimeStamp]])*24</f>
        <v>4.9999999999999822E-2</v>
      </c>
      <c r="T605" s="378">
        <f>(Table6[[#This Row],[Fault Clearance time]]-Table6[[#This Row],[Fault Start TimeStamp]])*24</f>
        <v>0.79999999999999982</v>
      </c>
      <c r="U605" s="364" t="s">
        <v>493</v>
      </c>
      <c r="V605" s="364" t="s">
        <v>463</v>
      </c>
      <c r="W605" s="354">
        <f>Table6[[#This Row],[Breakdown Time]]*(1/39)</f>
        <v>2.0512820512820506E-2</v>
      </c>
      <c r="X605" s="352" t="s">
        <v>465</v>
      </c>
      <c r="Y605" s="364" t="s">
        <v>124</v>
      </c>
      <c r="Z605" s="121">
        <v>2830</v>
      </c>
      <c r="AA605" s="123">
        <v>94.333333333333314</v>
      </c>
      <c r="AB605" s="121" t="s">
        <v>478</v>
      </c>
    </row>
    <row r="606" spans="1:28">
      <c r="A606" s="121">
        <f t="shared" si="9"/>
        <v>605</v>
      </c>
      <c r="B606" s="123">
        <f>YEAR(Table6[[#This Row],[Date]])+IF(MONTH(Table6[[#This Row],[Date]])&gt;=4,1,0)</f>
        <v>2026</v>
      </c>
      <c r="C606" s="121">
        <f>YEAR(Table6[[#This Row],[Date]])</f>
        <v>2025</v>
      </c>
      <c r="D606" s="121" t="s">
        <v>490</v>
      </c>
      <c r="E606" s="135">
        <f>Table6[[#This Row],[Date]]-DAY(Table6[[#This Row],[Date]])+1</f>
        <v>45778</v>
      </c>
      <c r="F606" s="134">
        <v>45800</v>
      </c>
      <c r="G606" s="121" t="s">
        <v>126</v>
      </c>
      <c r="H606" s="39" t="str">
        <f>_xlfn.XLOOKUP(Table6[[#This Row],[Affected WTG]],'Basic Data'!$A:$A,'Basic Data'!$B:$B)</f>
        <v>PWEGPL</v>
      </c>
      <c r="I606" s="39" t="str">
        <f>_xlfn.XLOOKUP(Table6[[#This Row],[Affected WTG]],'Basic Data'!$A:$A,'Basic Data'!$C:$C)</f>
        <v>MSEDCL</v>
      </c>
      <c r="J606" s="363">
        <f>IFERROR(VLOOKUP(Table6[[#This Row],[Affected WTG]],'Basic Data'!$A$3:$E$56,5,0),"")</f>
        <v>2.564102564102564E-2</v>
      </c>
      <c r="K606" s="121">
        <v>5210</v>
      </c>
      <c r="L606" s="39" t="str">
        <f>IFERROR(VLOOKUP(Table6[[#This Row],[Error Code]],'Basic Data'!$T:$U,2,0),"")</f>
        <v>Failure Of The Contactor's Rotor Power</v>
      </c>
      <c r="M606" s="364" t="s">
        <v>479</v>
      </c>
      <c r="O606" s="365">
        <v>0.47222222222222221</v>
      </c>
      <c r="P606" s="365">
        <v>0.47222222222222221</v>
      </c>
      <c r="Q606" s="365">
        <v>0.5625</v>
      </c>
      <c r="R606" s="366">
        <f>IF(Table6[[#This Row],[Work Start TimeStamp]]="","",(Table6[[#This Row],[Work Start TimeStamp]]-Table6[[#This Row],[Fault Start TimeStamp]])*24)</f>
        <v>0</v>
      </c>
      <c r="S606" s="377">
        <f>(Table6[[#This Row],[Fault Clearance time]]-Table6[[#This Row],[Work Start TimeStamp]])*24</f>
        <v>2.166666666666667</v>
      </c>
      <c r="T606" s="378">
        <f>(Table6[[#This Row],[Fault Clearance time]]-Table6[[#This Row],[Fault Start TimeStamp]])*24</f>
        <v>2.166666666666667</v>
      </c>
      <c r="U606" s="364" t="s">
        <v>1167</v>
      </c>
      <c r="V606" s="364" t="s">
        <v>463</v>
      </c>
      <c r="W606" s="354">
        <f>Table6[[#This Row],[Breakdown Time]]*(1/39)</f>
        <v>5.5555555555555559E-2</v>
      </c>
      <c r="X606" s="352" t="s">
        <v>464</v>
      </c>
      <c r="Y606" s="364" t="s">
        <v>127</v>
      </c>
      <c r="Z606" s="121">
        <v>3107</v>
      </c>
      <c r="AA606" s="123">
        <v>280.4930555555556</v>
      </c>
      <c r="AB606" s="121" t="s">
        <v>478</v>
      </c>
    </row>
    <row r="607" spans="1:28">
      <c r="A607" s="121">
        <f t="shared" si="9"/>
        <v>606</v>
      </c>
      <c r="B607" s="123">
        <f>YEAR(Table6[[#This Row],[Date]])+IF(MONTH(Table6[[#This Row],[Date]])&gt;=4,1,0)</f>
        <v>2026</v>
      </c>
      <c r="C607" s="121">
        <f>YEAR(Table6[[#This Row],[Date]])</f>
        <v>2025</v>
      </c>
      <c r="D607" s="121" t="s">
        <v>490</v>
      </c>
      <c r="E607" s="135">
        <f>Table6[[#This Row],[Date]]-DAY(Table6[[#This Row],[Date]])+1</f>
        <v>45778</v>
      </c>
      <c r="F607" s="134">
        <v>45800</v>
      </c>
      <c r="G607" s="121" t="s">
        <v>129</v>
      </c>
      <c r="H607" s="39" t="str">
        <f>_xlfn.XLOOKUP(Table6[[#This Row],[Affected WTG]],'Basic Data'!$A:$A,'Basic Data'!$B:$B)</f>
        <v>PWEGPL</v>
      </c>
      <c r="I607" s="39" t="str">
        <f>_xlfn.XLOOKUP(Table6[[#This Row],[Affected WTG]],'Basic Data'!$A:$A,'Basic Data'!$C:$C)</f>
        <v>MSEDCL</v>
      </c>
      <c r="J607" s="363">
        <f>IFERROR(VLOOKUP(Table6[[#This Row],[Affected WTG]],'Basic Data'!$A$3:$E$56,5,0),"")</f>
        <v>2.564102564102564E-2</v>
      </c>
      <c r="K607" s="121" t="s">
        <v>476</v>
      </c>
      <c r="L607" s="39" t="str">
        <f>IFERROR(VLOOKUP(Table6[[#This Row],[Error Code]],'Basic Data'!$T:$U,2,0),"")</f>
        <v>Manual Stop - Preventive Maintenance Activity</v>
      </c>
      <c r="M607" s="364" t="s">
        <v>474</v>
      </c>
      <c r="O607" s="365">
        <v>0.47013888888888888</v>
      </c>
      <c r="P607" s="365">
        <v>0.47013888888888888</v>
      </c>
      <c r="Q607" s="365">
        <v>0.74791666666666667</v>
      </c>
      <c r="R607" s="366">
        <f>IF(Table6[[#This Row],[Work Start TimeStamp]]="","",(Table6[[#This Row],[Work Start TimeStamp]]-Table6[[#This Row],[Fault Start TimeStamp]])*24)</f>
        <v>0</v>
      </c>
      <c r="S607" s="367">
        <f>(Table6[[#This Row],[Fault Clearance time]]-Table6[[#This Row],[Work Start TimeStamp]])*24</f>
        <v>6.666666666666667</v>
      </c>
      <c r="T607" s="368">
        <f>(Table6[[#This Row],[Fault Clearance time]]-Table6[[#This Row],[Fault Start TimeStamp]])*24</f>
        <v>6.666666666666667</v>
      </c>
      <c r="U607" s="364" t="s">
        <v>582</v>
      </c>
      <c r="V607" s="364" t="s">
        <v>463</v>
      </c>
      <c r="W607" s="354">
        <f>Table6[[#This Row],[Breakdown Time]]*(1/39)</f>
        <v>0.17094017094017094</v>
      </c>
      <c r="X607" s="352" t="s">
        <v>467</v>
      </c>
      <c r="Y607" s="364" t="s">
        <v>130</v>
      </c>
      <c r="Z607" s="121">
        <v>3109</v>
      </c>
      <c r="AA607" s="123">
        <v>863.61111111111109</v>
      </c>
      <c r="AB607" s="121" t="s">
        <v>478</v>
      </c>
    </row>
    <row r="608" spans="1:28">
      <c r="A608" s="121">
        <f t="shared" si="9"/>
        <v>607</v>
      </c>
      <c r="B608" s="123">
        <f>YEAR(Table6[[#This Row],[Date]])+IF(MONTH(Table6[[#This Row],[Date]])&gt;=4,1,0)</f>
        <v>2026</v>
      </c>
      <c r="C608" s="121">
        <f>YEAR(Table6[[#This Row],[Date]])</f>
        <v>2025</v>
      </c>
      <c r="D608" s="121" t="s">
        <v>490</v>
      </c>
      <c r="E608" s="135">
        <f>Table6[[#This Row],[Date]]-DAY(Table6[[#This Row],[Date]])+1</f>
        <v>45778</v>
      </c>
      <c r="F608" s="134">
        <v>45800</v>
      </c>
      <c r="G608" s="121" t="s">
        <v>130</v>
      </c>
      <c r="H608" s="39" t="str">
        <f>_xlfn.XLOOKUP(Table6[[#This Row],[Affected WTG]],'Basic Data'!$A:$A,'Basic Data'!$B:$B)</f>
        <v>PWEGPL</v>
      </c>
      <c r="I608" s="39" t="str">
        <f>_xlfn.XLOOKUP(Table6[[#This Row],[Affected WTG]],'Basic Data'!$A:$A,'Basic Data'!$C:$C)</f>
        <v>MSEDCL</v>
      </c>
      <c r="J608" s="363">
        <f>IFERROR(VLOOKUP(Table6[[#This Row],[Affected WTG]],'Basic Data'!$A$3:$E$56,5,0),"")</f>
        <v>2.564102564102564E-2</v>
      </c>
      <c r="K608" s="121">
        <v>5225</v>
      </c>
      <c r="L608" s="39" t="str">
        <f>IFERROR(VLOOKUP(Table6[[#This Row],[Error Code]],'Basic Data'!$T:$U,2,0),"")</f>
        <v>Fault In Analog Electronic Power Supply</v>
      </c>
      <c r="M608" s="364" t="s">
        <v>462</v>
      </c>
      <c r="O608" s="365">
        <v>0.66736111111111107</v>
      </c>
      <c r="P608" s="365">
        <v>0.68402777777777779</v>
      </c>
      <c r="Q608" s="365">
        <v>0.68541666666666667</v>
      </c>
      <c r="R608" s="366">
        <f>IF(Table6[[#This Row],[Work Start TimeStamp]]="","",(Table6[[#This Row],[Work Start TimeStamp]]-Table6[[#This Row],[Fault Start TimeStamp]])*24)</f>
        <v>0.40000000000000124</v>
      </c>
      <c r="S608" s="377">
        <f>(Table6[[#This Row],[Fault Clearance time]]-Table6[[#This Row],[Work Start TimeStamp]])*24</f>
        <v>3.3333333333333215E-2</v>
      </c>
      <c r="T608" s="378">
        <f>(Table6[[#This Row],[Fault Clearance time]]-Table6[[#This Row],[Fault Start TimeStamp]])*24</f>
        <v>0.43333333333333446</v>
      </c>
      <c r="U608" s="364" t="s">
        <v>493</v>
      </c>
      <c r="V608" s="364" t="s">
        <v>463</v>
      </c>
      <c r="W608" s="354">
        <f>Table6[[#This Row],[Breakdown Time]]*(1/39)</f>
        <v>1.1111111111111139E-2</v>
      </c>
      <c r="X608" s="352" t="s">
        <v>465</v>
      </c>
      <c r="Y608" s="364" t="s">
        <v>131</v>
      </c>
      <c r="Z608" s="121">
        <v>3111</v>
      </c>
      <c r="AA608" s="123">
        <v>56.170833333333476</v>
      </c>
      <c r="AB608" s="121" t="s">
        <v>478</v>
      </c>
    </row>
    <row r="609" spans="1:28">
      <c r="A609" s="121">
        <f t="shared" si="9"/>
        <v>608</v>
      </c>
      <c r="B609" s="123">
        <f>YEAR(Table6[[#This Row],[Date]])+IF(MONTH(Table6[[#This Row],[Date]])&gt;=4,1,0)</f>
        <v>2026</v>
      </c>
      <c r="C609" s="121">
        <f>YEAR(Table6[[#This Row],[Date]])</f>
        <v>2025</v>
      </c>
      <c r="D609" s="121" t="s">
        <v>490</v>
      </c>
      <c r="E609" s="135">
        <f>Table6[[#This Row],[Date]]-DAY(Table6[[#This Row],[Date]])+1</f>
        <v>45778</v>
      </c>
      <c r="F609" s="134">
        <v>45800</v>
      </c>
      <c r="G609" s="121" t="s">
        <v>138</v>
      </c>
      <c r="H609" s="39" t="str">
        <f>_xlfn.XLOOKUP(Table6[[#This Row],[Affected WTG]],'Basic Data'!$A:$A,'Basic Data'!$B:$B)</f>
        <v>PWEGPL</v>
      </c>
      <c r="I609" s="39" t="str">
        <f>_xlfn.XLOOKUP(Table6[[#This Row],[Affected WTG]],'Basic Data'!$A:$A,'Basic Data'!$C:$C)</f>
        <v>MSEDCL</v>
      </c>
      <c r="J609" s="363">
        <f>IFERROR(VLOOKUP(Table6[[#This Row],[Affected WTG]],'Basic Data'!$A$3:$E$56,5,0),"")</f>
        <v>2.564102564102564E-2</v>
      </c>
      <c r="K609" s="121" t="s">
        <v>466</v>
      </c>
      <c r="L609" s="39" t="str">
        <f>IFERROR(VLOOKUP(Table6[[#This Row],[Error Code]],'Basic Data'!$T:$U,2,0),"")</f>
        <v>Manual Stop</v>
      </c>
      <c r="M609" s="364" t="s">
        <v>507</v>
      </c>
      <c r="O609" s="365">
        <v>0.59375</v>
      </c>
      <c r="P609" s="365">
        <v>0.59375</v>
      </c>
      <c r="Q609" s="365">
        <v>0.625</v>
      </c>
      <c r="R609" s="366">
        <f>IF(Table6[[#This Row],[Work Start TimeStamp]]="","",(Table6[[#This Row],[Work Start TimeStamp]]-Table6[[#This Row],[Fault Start TimeStamp]])*24)</f>
        <v>0</v>
      </c>
      <c r="S609" s="377">
        <f>(Table6[[#This Row],[Fault Clearance time]]-Table6[[#This Row],[Work Start TimeStamp]])*24</f>
        <v>0.75</v>
      </c>
      <c r="T609" s="378">
        <f>(Table6[[#This Row],[Fault Clearance time]]-Table6[[#This Row],[Fault Start TimeStamp]])*24</f>
        <v>0.75</v>
      </c>
      <c r="U609" s="364" t="s">
        <v>1175</v>
      </c>
      <c r="V609" s="364" t="s">
        <v>463</v>
      </c>
      <c r="W609" s="354">
        <f>Table6[[#This Row],[Breakdown Time]]*(1/39)</f>
        <v>1.9230769230769232E-2</v>
      </c>
      <c r="X609" s="352" t="s">
        <v>464</v>
      </c>
      <c r="Y609" s="364" t="s">
        <v>140</v>
      </c>
      <c r="Z609" s="121">
        <v>2014</v>
      </c>
      <c r="AA609" s="123">
        <v>62.9375</v>
      </c>
      <c r="AB609" s="121" t="s">
        <v>478</v>
      </c>
    </row>
    <row r="610" spans="1:28">
      <c r="A610" s="121">
        <f t="shared" si="9"/>
        <v>609</v>
      </c>
      <c r="B610" s="123">
        <f>YEAR(Table6[[#This Row],[Date]])+IF(MONTH(Table6[[#This Row],[Date]])&gt;=4,1,0)</f>
        <v>2026</v>
      </c>
      <c r="C610" s="121">
        <f>YEAR(Table6[[#This Row],[Date]])</f>
        <v>2025</v>
      </c>
      <c r="D610" s="121" t="s">
        <v>490</v>
      </c>
      <c r="E610" s="135">
        <f>Table6[[#This Row],[Date]]-DAY(Table6[[#This Row],[Date]])+1</f>
        <v>45778</v>
      </c>
      <c r="F610" s="134">
        <v>45801</v>
      </c>
      <c r="G610" s="121" t="s">
        <v>144</v>
      </c>
      <c r="H610" s="39" t="str">
        <f>_xlfn.XLOOKUP(Table6[[#This Row],[Affected WTG]],'Basic Data'!$A:$A,'Basic Data'!$B:$B)</f>
        <v>PWEGPL</v>
      </c>
      <c r="I610" s="39" t="str">
        <f>_xlfn.XLOOKUP(Table6[[#This Row],[Affected WTG]],'Basic Data'!$A:$A,'Basic Data'!$C:$C)</f>
        <v>MSEDCL</v>
      </c>
      <c r="J610" s="363">
        <f>IFERROR(VLOOKUP(Table6[[#This Row],[Affected WTG]],'Basic Data'!$A$3:$E$56,5,0),"")</f>
        <v>2.564102564102564E-2</v>
      </c>
      <c r="K610" s="121" t="s">
        <v>492</v>
      </c>
      <c r="L610" s="39" t="str">
        <f>IFERROR(VLOOKUP(Table6[[#This Row],[Error Code]],'Basic Data'!$T:$U,2,0),"")</f>
        <v>Manual Stop - Safety Related</v>
      </c>
      <c r="M610" s="364" t="s">
        <v>481</v>
      </c>
      <c r="O610" s="365">
        <v>0</v>
      </c>
      <c r="P610" s="365">
        <v>0.99930555555555556</v>
      </c>
      <c r="Q610" s="365">
        <v>0.99930555555555556</v>
      </c>
      <c r="R610" s="366">
        <f>IF(Table6[[#This Row],[Work Start TimeStamp]]="","",(Table6[[#This Row],[Work Start TimeStamp]]-Table6[[#This Row],[Fault Start TimeStamp]])*24)</f>
        <v>23.983333333333334</v>
      </c>
      <c r="S610" s="377">
        <f>(Table6[[#This Row],[Fault Clearance time]]-Table6[[#This Row],[Work Start TimeStamp]])*24</f>
        <v>0</v>
      </c>
      <c r="T610" s="378">
        <f>(Table6[[#This Row],[Fault Clearance time]]-Table6[[#This Row],[Fault Start TimeStamp]])*24</f>
        <v>23.983333333333334</v>
      </c>
      <c r="U610" s="364" t="s">
        <v>498</v>
      </c>
      <c r="V610" s="364" t="s">
        <v>473</v>
      </c>
      <c r="W610" s="354">
        <f>Table6[[#This Row],[Breakdown Time]]*(1/39)</f>
        <v>0.61495726495726499</v>
      </c>
      <c r="X610" s="352" t="s">
        <v>468</v>
      </c>
      <c r="Y610" s="364" t="s">
        <v>141</v>
      </c>
      <c r="Z610" s="121">
        <v>7772</v>
      </c>
      <c r="AA610" s="123">
        <v>7766.6027777777772</v>
      </c>
      <c r="AB610" s="121" t="s">
        <v>478</v>
      </c>
    </row>
    <row r="611" spans="1:28">
      <c r="A611" s="121">
        <f t="shared" si="9"/>
        <v>610</v>
      </c>
      <c r="B611" s="123">
        <f>YEAR(Table6[[#This Row],[Date]])+IF(MONTH(Table6[[#This Row],[Date]])&gt;=4,1,0)</f>
        <v>2026</v>
      </c>
      <c r="C611" s="121">
        <f>YEAR(Table6[[#This Row],[Date]])</f>
        <v>2025</v>
      </c>
      <c r="D611" s="121" t="s">
        <v>490</v>
      </c>
      <c r="E611" s="135">
        <f>Table6[[#This Row],[Date]]-DAY(Table6[[#This Row],[Date]])+1</f>
        <v>45778</v>
      </c>
      <c r="F611" s="134">
        <v>45801</v>
      </c>
      <c r="G611" s="121" t="s">
        <v>142</v>
      </c>
      <c r="H611" s="39" t="str">
        <f>_xlfn.XLOOKUP(Table6[[#This Row],[Affected WTG]],'Basic Data'!$A:$A,'Basic Data'!$B:$B)</f>
        <v>PWEGPL</v>
      </c>
      <c r="I611" s="39" t="str">
        <f>_xlfn.XLOOKUP(Table6[[#This Row],[Affected WTG]],'Basic Data'!$A:$A,'Basic Data'!$C:$C)</f>
        <v>MSEDCL</v>
      </c>
      <c r="J611" s="363">
        <f>IFERROR(VLOOKUP(Table6[[#This Row],[Affected WTG]],'Basic Data'!$A$3:$E$56,5,0),"")</f>
        <v>2.564102564102564E-2</v>
      </c>
      <c r="K611" s="121" t="s">
        <v>492</v>
      </c>
      <c r="L611" s="39" t="str">
        <f>IFERROR(VLOOKUP(Table6[[#This Row],[Error Code]],'Basic Data'!$T:$U,2,0),"")</f>
        <v>Manual Stop - Safety Related</v>
      </c>
      <c r="M611" s="364" t="s">
        <v>481</v>
      </c>
      <c r="O611" s="365">
        <v>0</v>
      </c>
      <c r="P611" s="365">
        <v>0.99930555555555556</v>
      </c>
      <c r="Q611" s="365">
        <v>0.99930555555555556</v>
      </c>
      <c r="R611" s="366">
        <f>IF(Table6[[#This Row],[Work Start TimeStamp]]="","",(Table6[[#This Row],[Work Start TimeStamp]]-Table6[[#This Row],[Fault Start TimeStamp]])*24)</f>
        <v>23.983333333333334</v>
      </c>
      <c r="S611" s="377">
        <f>(Table6[[#This Row],[Fault Clearance time]]-Table6[[#This Row],[Work Start TimeStamp]])*24</f>
        <v>0</v>
      </c>
      <c r="T611" s="378">
        <f>(Table6[[#This Row],[Fault Clearance time]]-Table6[[#This Row],[Fault Start TimeStamp]])*24</f>
        <v>23.983333333333334</v>
      </c>
      <c r="U611" s="364" t="s">
        <v>498</v>
      </c>
      <c r="V611" s="364" t="s">
        <v>473</v>
      </c>
      <c r="W611" s="354">
        <f>Table6[[#This Row],[Breakdown Time]]*(1/39)</f>
        <v>0.61495726495726499</v>
      </c>
      <c r="X611" s="352" t="s">
        <v>468</v>
      </c>
      <c r="Y611" s="364" t="s">
        <v>141</v>
      </c>
      <c r="Z611" s="121">
        <v>7772</v>
      </c>
      <c r="AA611" s="123">
        <v>7766.6027777777772</v>
      </c>
      <c r="AB611" s="121" t="s">
        <v>478</v>
      </c>
    </row>
    <row r="612" spans="1:28">
      <c r="A612" s="121">
        <f t="shared" si="9"/>
        <v>611</v>
      </c>
      <c r="B612" s="123">
        <f>YEAR(Table6[[#This Row],[Date]])+IF(MONTH(Table6[[#This Row],[Date]])&gt;=4,1,0)</f>
        <v>2026</v>
      </c>
      <c r="C612" s="121">
        <f>YEAR(Table6[[#This Row],[Date]])</f>
        <v>2025</v>
      </c>
      <c r="D612" s="121" t="s">
        <v>490</v>
      </c>
      <c r="E612" s="135">
        <f>Table6[[#This Row],[Date]]-DAY(Table6[[#This Row],[Date]])+1</f>
        <v>45778</v>
      </c>
      <c r="F612" s="134">
        <v>45801</v>
      </c>
      <c r="G612" s="121" t="s">
        <v>130</v>
      </c>
      <c r="H612" s="39" t="str">
        <f>_xlfn.XLOOKUP(Table6[[#This Row],[Affected WTG]],'Basic Data'!$A:$A,'Basic Data'!$B:$B)</f>
        <v>PWEGPL</v>
      </c>
      <c r="I612" s="39" t="str">
        <f>_xlfn.XLOOKUP(Table6[[#This Row],[Affected WTG]],'Basic Data'!$A:$A,'Basic Data'!$C:$C)</f>
        <v>MSEDCL</v>
      </c>
      <c r="J612" s="363">
        <f>IFERROR(VLOOKUP(Table6[[#This Row],[Affected WTG]],'Basic Data'!$A$3:$E$56,5,0),"")</f>
        <v>2.564102564102564E-2</v>
      </c>
      <c r="K612" s="121" t="s">
        <v>476</v>
      </c>
      <c r="L612" s="39" t="str">
        <f>IFERROR(VLOOKUP(Table6[[#This Row],[Error Code]],'Basic Data'!$T:$U,2,0),"")</f>
        <v>Manual Stop - Preventive Maintenance Activity</v>
      </c>
      <c r="M612" s="364" t="s">
        <v>474</v>
      </c>
      <c r="O612" s="365">
        <v>0.50694444444444442</v>
      </c>
      <c r="P612" s="365">
        <v>0.50694444444444442</v>
      </c>
      <c r="Q612" s="365">
        <v>0.82986111111111116</v>
      </c>
      <c r="R612" s="366">
        <f>IF(Table6[[#This Row],[Work Start TimeStamp]]="","",(Table6[[#This Row],[Work Start TimeStamp]]-Table6[[#This Row],[Fault Start TimeStamp]])*24)</f>
        <v>0</v>
      </c>
      <c r="S612" s="367">
        <f>(Table6[[#This Row],[Fault Clearance time]]-Table6[[#This Row],[Work Start TimeStamp]])*24</f>
        <v>7.7500000000000018</v>
      </c>
      <c r="T612" s="368">
        <f>(Table6[[#This Row],[Fault Clearance time]]-Table6[[#This Row],[Fault Start TimeStamp]])*24</f>
        <v>7.7500000000000018</v>
      </c>
      <c r="U612" s="364" t="s">
        <v>582</v>
      </c>
      <c r="V612" s="364" t="s">
        <v>463</v>
      </c>
      <c r="W612" s="354">
        <f>Table6[[#This Row],[Breakdown Time]]*(1/39)</f>
        <v>0.19871794871794876</v>
      </c>
      <c r="X612" s="352" t="s">
        <v>467</v>
      </c>
      <c r="Y612" s="364" t="s">
        <v>131</v>
      </c>
      <c r="Z612" s="121">
        <v>7365</v>
      </c>
      <c r="AA612" s="123">
        <v>2378.2812500000005</v>
      </c>
      <c r="AB612" s="121" t="s">
        <v>478</v>
      </c>
    </row>
    <row r="613" spans="1:28">
      <c r="A613" s="121">
        <f t="shared" si="9"/>
        <v>612</v>
      </c>
      <c r="B613" s="123">
        <f>YEAR(Table6[[#This Row],[Date]])+IF(MONTH(Table6[[#This Row],[Date]])&gt;=4,1,0)</f>
        <v>2026</v>
      </c>
      <c r="C613" s="121">
        <f>YEAR(Table6[[#This Row],[Date]])</f>
        <v>2025</v>
      </c>
      <c r="D613" s="121" t="s">
        <v>490</v>
      </c>
      <c r="E613" s="135">
        <f>Table6[[#This Row],[Date]]-DAY(Table6[[#This Row],[Date]])+1</f>
        <v>45778</v>
      </c>
      <c r="F613" s="134">
        <v>45801</v>
      </c>
      <c r="G613" s="121" t="s">
        <v>139</v>
      </c>
      <c r="H613" s="39" t="str">
        <f>_xlfn.XLOOKUP(Table6[[#This Row],[Affected WTG]],'Basic Data'!$A:$A,'Basic Data'!$B:$B)</f>
        <v>PWEGPL</v>
      </c>
      <c r="I613" s="39" t="str">
        <f>_xlfn.XLOOKUP(Table6[[#This Row],[Affected WTG]],'Basic Data'!$A:$A,'Basic Data'!$C:$C)</f>
        <v>MSEDCL</v>
      </c>
      <c r="J613" s="363">
        <f>IFERROR(VLOOKUP(Table6[[#This Row],[Affected WTG]],'Basic Data'!$A$3:$E$56,5,0),"")</f>
        <v>2.564102564102564E-2</v>
      </c>
      <c r="K613" s="121" t="s">
        <v>487</v>
      </c>
      <c r="L613" s="39" t="str">
        <f>IFERROR(VLOOKUP(Table6[[#This Row],[Error Code]],'Basic Data'!$T:$U,2,0),"")</f>
        <v>General Work Stoppage</v>
      </c>
      <c r="M613" s="364" t="s">
        <v>479</v>
      </c>
      <c r="O613" s="365">
        <v>0.57986111111111116</v>
      </c>
      <c r="P613" s="365">
        <v>0.57986111111111116</v>
      </c>
      <c r="Q613" s="365">
        <v>0.66736111111111107</v>
      </c>
      <c r="R613" s="366">
        <f>IF(Table6[[#This Row],[Work Start TimeStamp]]="","",(Table6[[#This Row],[Work Start TimeStamp]]-Table6[[#This Row],[Fault Start TimeStamp]])*24)</f>
        <v>0</v>
      </c>
      <c r="S613" s="367">
        <f>(Table6[[#This Row],[Fault Clearance time]]-Table6[[#This Row],[Work Start TimeStamp]])*24</f>
        <v>2.0999999999999979</v>
      </c>
      <c r="T613" s="368">
        <f>(Table6[[#This Row],[Fault Clearance time]]-Table6[[#This Row],[Fault Start TimeStamp]])*24</f>
        <v>2.0999999999999979</v>
      </c>
      <c r="U613" s="364" t="s">
        <v>1176</v>
      </c>
      <c r="V613" s="364" t="s">
        <v>463</v>
      </c>
      <c r="W613" s="354">
        <f>Table6[[#This Row],[Breakdown Time]]*(1/39)</f>
        <v>5.3846153846153787E-2</v>
      </c>
      <c r="X613" s="352" t="s">
        <v>464</v>
      </c>
      <c r="Y613" s="364" t="s">
        <v>145</v>
      </c>
      <c r="Z613" s="121">
        <v>6467</v>
      </c>
      <c r="AA613" s="123">
        <v>565.86249999999939</v>
      </c>
      <c r="AB613" s="121" t="s">
        <v>478</v>
      </c>
    </row>
    <row r="614" spans="1:28">
      <c r="A614" s="121">
        <f t="shared" si="9"/>
        <v>613</v>
      </c>
      <c r="B614" s="123">
        <f>YEAR(Table6[[#This Row],[Date]])+IF(MONTH(Table6[[#This Row],[Date]])&gt;=4,1,0)</f>
        <v>2026</v>
      </c>
      <c r="C614" s="121">
        <f>YEAR(Table6[[#This Row],[Date]])</f>
        <v>2025</v>
      </c>
      <c r="D614" s="121" t="s">
        <v>490</v>
      </c>
      <c r="E614" s="135">
        <f>Table6[[#This Row],[Date]]-DAY(Table6[[#This Row],[Date]])+1</f>
        <v>45778</v>
      </c>
      <c r="F614" s="134">
        <v>45801</v>
      </c>
      <c r="G614" s="121" t="s">
        <v>147</v>
      </c>
      <c r="H614" s="39" t="str">
        <f>_xlfn.XLOOKUP(Table6[[#This Row],[Affected WTG]],'Basic Data'!$A:$A,'Basic Data'!$B:$B)</f>
        <v>PWEGPL</v>
      </c>
      <c r="I614" s="39" t="str">
        <f>_xlfn.XLOOKUP(Table6[[#This Row],[Affected WTG]],'Basic Data'!$A:$A,'Basic Data'!$C:$C)</f>
        <v>MSEDCL</v>
      </c>
      <c r="J614" s="363">
        <f>IFERROR(VLOOKUP(Table6[[#This Row],[Affected WTG]],'Basic Data'!$A$3:$E$56,5,0),"")</f>
        <v>2.564102564102564E-2</v>
      </c>
      <c r="K614" s="121">
        <v>205</v>
      </c>
      <c r="L614" s="39" t="str">
        <f>IFERROR(VLOOKUP(Table6[[#This Row],[Error Code]],'Basic Data'!$T:$U,2,0),"")</f>
        <v>Low Level Hydraulic Group Refrigeration Oil</v>
      </c>
      <c r="M614" s="364" t="s">
        <v>462</v>
      </c>
      <c r="O614" s="365">
        <v>0.51388888888888884</v>
      </c>
      <c r="P614" s="365">
        <v>0.54027777777777775</v>
      </c>
      <c r="Q614" s="365">
        <v>0.54166666666666663</v>
      </c>
      <c r="R614" s="366">
        <f>IF(Table6[[#This Row],[Work Start TimeStamp]]="","",(Table6[[#This Row],[Work Start TimeStamp]]-Table6[[#This Row],[Fault Start TimeStamp]])*24)</f>
        <v>0.63333333333333375</v>
      </c>
      <c r="S614" s="377">
        <f>(Table6[[#This Row],[Fault Clearance time]]-Table6[[#This Row],[Work Start TimeStamp]])*24</f>
        <v>3.3333333333333215E-2</v>
      </c>
      <c r="T614" s="378">
        <f>(Table6[[#This Row],[Fault Clearance time]]-Table6[[#This Row],[Fault Start TimeStamp]])*24</f>
        <v>0.66666666666666696</v>
      </c>
      <c r="U614" s="364" t="s">
        <v>493</v>
      </c>
      <c r="V614" s="364" t="s">
        <v>463</v>
      </c>
      <c r="W614" s="354">
        <f>Table6[[#This Row],[Breakdown Time]]*(1/39)</f>
        <v>1.7094017094017103E-2</v>
      </c>
      <c r="X614" s="352" t="s">
        <v>465</v>
      </c>
      <c r="Y614" s="364" t="s">
        <v>146</v>
      </c>
      <c r="Z614" s="121">
        <v>6457</v>
      </c>
      <c r="AA614" s="123">
        <v>179.3611111111112</v>
      </c>
      <c r="AB614" s="121" t="s">
        <v>478</v>
      </c>
    </row>
    <row r="615" spans="1:28">
      <c r="A615" s="121">
        <f t="shared" si="9"/>
        <v>614</v>
      </c>
      <c r="B615" s="123">
        <f>YEAR(Table6[[#This Row],[Date]])+IF(MONTH(Table6[[#This Row],[Date]])&gt;=4,1,0)</f>
        <v>2026</v>
      </c>
      <c r="C615" s="121">
        <f>YEAR(Table6[[#This Row],[Date]])</f>
        <v>2025</v>
      </c>
      <c r="D615" s="121" t="s">
        <v>490</v>
      </c>
      <c r="E615" s="135">
        <f>Table6[[#This Row],[Date]]-DAY(Table6[[#This Row],[Date]])+1</f>
        <v>45778</v>
      </c>
      <c r="F615" s="134">
        <v>45802</v>
      </c>
      <c r="G615" s="121" t="s">
        <v>144</v>
      </c>
      <c r="H615" s="39" t="str">
        <f>_xlfn.XLOOKUP(Table6[[#This Row],[Affected WTG]],'Basic Data'!$A:$A,'Basic Data'!$B:$B)</f>
        <v>PWEGPL</v>
      </c>
      <c r="I615" s="39" t="str">
        <f>_xlfn.XLOOKUP(Table6[[#This Row],[Affected WTG]],'Basic Data'!$A:$A,'Basic Data'!$C:$C)</f>
        <v>MSEDCL</v>
      </c>
      <c r="J615" s="363">
        <f>IFERROR(VLOOKUP(Table6[[#This Row],[Affected WTG]],'Basic Data'!$A$3:$E$56,5,0),"")</f>
        <v>2.564102564102564E-2</v>
      </c>
      <c r="K615" s="121" t="s">
        <v>492</v>
      </c>
      <c r="L615" s="39" t="str">
        <f>IFERROR(VLOOKUP(Table6[[#This Row],[Error Code]],'Basic Data'!$T:$U,2,0),"")</f>
        <v>Manual Stop - Safety Related</v>
      </c>
      <c r="M615" s="364" t="s">
        <v>481</v>
      </c>
      <c r="O615" s="365">
        <v>0</v>
      </c>
      <c r="P615" s="365">
        <v>0.99930555555555556</v>
      </c>
      <c r="Q615" s="365">
        <v>0.99930555555555556</v>
      </c>
      <c r="R615" s="366">
        <f>IF(Table6[[#This Row],[Work Start TimeStamp]]="","",(Table6[[#This Row],[Work Start TimeStamp]]-Table6[[#This Row],[Fault Start TimeStamp]])*24)</f>
        <v>23.983333333333334</v>
      </c>
      <c r="S615" s="377">
        <f>(Table6[[#This Row],[Fault Clearance time]]-Table6[[#This Row],[Work Start TimeStamp]])*24</f>
        <v>0</v>
      </c>
      <c r="T615" s="378">
        <f>(Table6[[#This Row],[Fault Clearance time]]-Table6[[#This Row],[Fault Start TimeStamp]])*24</f>
        <v>23.983333333333334</v>
      </c>
      <c r="U615" s="364" t="s">
        <v>498</v>
      </c>
      <c r="V615" s="364" t="s">
        <v>473</v>
      </c>
      <c r="W615" s="354">
        <f>Table6[[#This Row],[Breakdown Time]]*(1/39)</f>
        <v>0.61495726495726499</v>
      </c>
      <c r="X615" s="352" t="s">
        <v>468</v>
      </c>
      <c r="Y615" s="364" t="s">
        <v>141</v>
      </c>
      <c r="Z615" s="121">
        <v>5528</v>
      </c>
      <c r="AA615" s="123">
        <v>5524.1611111111115</v>
      </c>
      <c r="AB615" s="121" t="s">
        <v>478</v>
      </c>
    </row>
    <row r="616" spans="1:28">
      <c r="A616" s="121">
        <f t="shared" si="9"/>
        <v>615</v>
      </c>
      <c r="B616" s="123">
        <f>YEAR(Table6[[#This Row],[Date]])+IF(MONTH(Table6[[#This Row],[Date]])&gt;=4,1,0)</f>
        <v>2026</v>
      </c>
      <c r="C616" s="121">
        <f>YEAR(Table6[[#This Row],[Date]])</f>
        <v>2025</v>
      </c>
      <c r="D616" s="121" t="s">
        <v>490</v>
      </c>
      <c r="E616" s="135">
        <f>Table6[[#This Row],[Date]]-DAY(Table6[[#This Row],[Date]])+1</f>
        <v>45778</v>
      </c>
      <c r="F616" s="134">
        <v>45802</v>
      </c>
      <c r="G616" s="121" t="s">
        <v>142</v>
      </c>
      <c r="H616" s="39" t="str">
        <f>_xlfn.XLOOKUP(Table6[[#This Row],[Affected WTG]],'Basic Data'!$A:$A,'Basic Data'!$B:$B)</f>
        <v>PWEGPL</v>
      </c>
      <c r="I616" s="39" t="str">
        <f>_xlfn.XLOOKUP(Table6[[#This Row],[Affected WTG]],'Basic Data'!$A:$A,'Basic Data'!$C:$C)</f>
        <v>MSEDCL</v>
      </c>
      <c r="J616" s="363">
        <f>IFERROR(VLOOKUP(Table6[[#This Row],[Affected WTG]],'Basic Data'!$A$3:$E$56,5,0),"")</f>
        <v>2.564102564102564E-2</v>
      </c>
      <c r="K616" s="121" t="s">
        <v>492</v>
      </c>
      <c r="L616" s="39" t="str">
        <f>IFERROR(VLOOKUP(Table6[[#This Row],[Error Code]],'Basic Data'!$T:$U,2,0),"")</f>
        <v>Manual Stop - Safety Related</v>
      </c>
      <c r="M616" s="364" t="s">
        <v>481</v>
      </c>
      <c r="O616" s="365">
        <v>0</v>
      </c>
      <c r="P616" s="365">
        <v>0.99930555555555556</v>
      </c>
      <c r="Q616" s="365">
        <v>0.99930555555555556</v>
      </c>
      <c r="R616" s="366">
        <f>IF(Table6[[#This Row],[Work Start TimeStamp]]="","",(Table6[[#This Row],[Work Start TimeStamp]]-Table6[[#This Row],[Fault Start TimeStamp]])*24)</f>
        <v>23.983333333333334</v>
      </c>
      <c r="S616" s="377">
        <f>(Table6[[#This Row],[Fault Clearance time]]-Table6[[#This Row],[Work Start TimeStamp]])*24</f>
        <v>0</v>
      </c>
      <c r="T616" s="378">
        <f>(Table6[[#This Row],[Fault Clearance time]]-Table6[[#This Row],[Fault Start TimeStamp]])*24</f>
        <v>23.983333333333334</v>
      </c>
      <c r="U616" s="364" t="s">
        <v>498</v>
      </c>
      <c r="V616" s="364" t="s">
        <v>473</v>
      </c>
      <c r="W616" s="354">
        <f>Table6[[#This Row],[Breakdown Time]]*(1/39)</f>
        <v>0.61495726495726499</v>
      </c>
      <c r="X616" s="352" t="s">
        <v>468</v>
      </c>
      <c r="Y616" s="364" t="s">
        <v>141</v>
      </c>
      <c r="Z616" s="121">
        <v>5528</v>
      </c>
      <c r="AA616" s="123">
        <v>5524.1611111111115</v>
      </c>
      <c r="AB616" s="121" t="s">
        <v>478</v>
      </c>
    </row>
    <row r="617" spans="1:28">
      <c r="A617" s="121">
        <f t="shared" si="9"/>
        <v>616</v>
      </c>
      <c r="B617" s="123">
        <f>YEAR(Table6[[#This Row],[Date]])+IF(MONTH(Table6[[#This Row],[Date]])&gt;=4,1,0)</f>
        <v>2026</v>
      </c>
      <c r="C617" s="121">
        <f>YEAR(Table6[[#This Row],[Date]])</f>
        <v>2025</v>
      </c>
      <c r="D617" s="121" t="s">
        <v>490</v>
      </c>
      <c r="E617" s="135">
        <f>Table6[[#This Row],[Date]]-DAY(Table6[[#This Row],[Date]])+1</f>
        <v>45778</v>
      </c>
      <c r="F617" s="134">
        <v>45802</v>
      </c>
      <c r="G617" s="121" t="s">
        <v>124</v>
      </c>
      <c r="H617" s="39" t="str">
        <f>_xlfn.XLOOKUP(Table6[[#This Row],[Affected WTG]],'Basic Data'!$A:$A,'Basic Data'!$B:$B)</f>
        <v>PWEGPL</v>
      </c>
      <c r="I617" s="39" t="str">
        <f>_xlfn.XLOOKUP(Table6[[#This Row],[Affected WTG]],'Basic Data'!$A:$A,'Basic Data'!$C:$C)</f>
        <v>MSEDCL</v>
      </c>
      <c r="J617" s="363">
        <f>IFERROR(VLOOKUP(Table6[[#This Row],[Affected WTG]],'Basic Data'!$A$3:$E$56,5,0),"")</f>
        <v>2.564102564102564E-2</v>
      </c>
      <c r="K617" s="121">
        <v>5201</v>
      </c>
      <c r="L617" s="39" t="str">
        <f>IFERROR(VLOOKUP(Table6[[#This Row],[Error Code]],'Basic Data'!$T:$U,2,0),"")</f>
        <v>Magnetothermic Trigger Of The Stator Protection</v>
      </c>
      <c r="M617" s="364" t="s">
        <v>462</v>
      </c>
      <c r="O617" s="365">
        <v>0.45833333333333331</v>
      </c>
      <c r="P617" s="365">
        <v>0.47916666666666669</v>
      </c>
      <c r="Q617" s="365">
        <v>0.47986111111111113</v>
      </c>
      <c r="R617" s="366">
        <f>IF(Table6[[#This Row],[Work Start TimeStamp]]="","",(Table6[[#This Row],[Work Start TimeStamp]]-Table6[[#This Row],[Fault Start TimeStamp]])*24)</f>
        <v>0.50000000000000089</v>
      </c>
      <c r="S617" s="377">
        <f>(Table6[[#This Row],[Fault Clearance time]]-Table6[[#This Row],[Work Start TimeStamp]])*24</f>
        <v>1.6666666666666607E-2</v>
      </c>
      <c r="T617" s="378">
        <f>(Table6[[#This Row],[Fault Clearance time]]-Table6[[#This Row],[Fault Start TimeStamp]])*24</f>
        <v>0.5166666666666675</v>
      </c>
      <c r="U617" s="364" t="s">
        <v>493</v>
      </c>
      <c r="V617" s="364" t="s">
        <v>463</v>
      </c>
      <c r="W617" s="354">
        <f>Table6[[#This Row],[Breakdown Time]]*(1/39)</f>
        <v>1.3247863247863268E-2</v>
      </c>
      <c r="X617" s="352" t="s">
        <v>465</v>
      </c>
      <c r="Y617" s="364" t="s">
        <v>125</v>
      </c>
      <c r="Z617" s="121">
        <v>7164</v>
      </c>
      <c r="AA617" s="123">
        <v>154.22500000000025</v>
      </c>
      <c r="AB617" s="121" t="s">
        <v>478</v>
      </c>
    </row>
    <row r="618" spans="1:28">
      <c r="A618" s="121">
        <f t="shared" si="9"/>
        <v>617</v>
      </c>
      <c r="B618" s="123">
        <f>YEAR(Table6[[#This Row],[Date]])+IF(MONTH(Table6[[#This Row],[Date]])&gt;=4,1,0)</f>
        <v>2026</v>
      </c>
      <c r="C618" s="121">
        <f>YEAR(Table6[[#This Row],[Date]])</f>
        <v>2025</v>
      </c>
      <c r="D618" s="121" t="s">
        <v>490</v>
      </c>
      <c r="E618" s="135">
        <f>Table6[[#This Row],[Date]]-DAY(Table6[[#This Row],[Date]])+1</f>
        <v>45778</v>
      </c>
      <c r="F618" s="134">
        <v>45802</v>
      </c>
      <c r="G618" s="121" t="s">
        <v>130</v>
      </c>
      <c r="H618" s="39" t="str">
        <f>_xlfn.XLOOKUP(Table6[[#This Row],[Affected WTG]],'Basic Data'!$A:$A,'Basic Data'!$B:$B)</f>
        <v>PWEGPL</v>
      </c>
      <c r="I618" s="39" t="str">
        <f>_xlfn.XLOOKUP(Table6[[#This Row],[Affected WTG]],'Basic Data'!$A:$A,'Basic Data'!$C:$C)</f>
        <v>MSEDCL</v>
      </c>
      <c r="J618" s="363">
        <f>IFERROR(VLOOKUP(Table6[[#This Row],[Affected WTG]],'Basic Data'!$A$3:$E$56,5,0),"")</f>
        <v>2.564102564102564E-2</v>
      </c>
      <c r="K618" s="121">
        <v>2118</v>
      </c>
      <c r="L618" s="39" t="str">
        <f>IFERROR(VLOOKUP(Table6[[#This Row],[Error Code]],'Basic Data'!$T:$U,2,0),"")</f>
        <v>Bus Error - Interbus Failure</v>
      </c>
      <c r="M618" s="364" t="s">
        <v>462</v>
      </c>
      <c r="O618" s="365">
        <v>0.22430555555555556</v>
      </c>
      <c r="P618" s="365">
        <v>0.27986111111111112</v>
      </c>
      <c r="Q618" s="365">
        <v>0.28125</v>
      </c>
      <c r="R618" s="366">
        <f>IF(Table6[[#This Row],[Work Start TimeStamp]]="","",(Table6[[#This Row],[Work Start TimeStamp]]-Table6[[#This Row],[Fault Start TimeStamp]])*24)</f>
        <v>1.3333333333333333</v>
      </c>
      <c r="S618" s="377">
        <f>(Table6[[#This Row],[Fault Clearance time]]-Table6[[#This Row],[Work Start TimeStamp]])*24</f>
        <v>3.3333333333333215E-2</v>
      </c>
      <c r="T618" s="378">
        <f>(Table6[[#This Row],[Fault Clearance time]]-Table6[[#This Row],[Fault Start TimeStamp]])*24</f>
        <v>1.3666666666666665</v>
      </c>
      <c r="U618" s="364" t="s">
        <v>491</v>
      </c>
      <c r="V618" s="364" t="s">
        <v>463</v>
      </c>
      <c r="W618" s="354">
        <f>Table6[[#This Row],[Breakdown Time]]*(1/39)</f>
        <v>3.5042735042735036E-2</v>
      </c>
      <c r="X618" s="352" t="s">
        <v>465</v>
      </c>
      <c r="Y618" s="364" t="s">
        <v>129</v>
      </c>
      <c r="Z618" s="121">
        <v>7129</v>
      </c>
      <c r="AA618" s="123">
        <v>405.95694444444439</v>
      </c>
      <c r="AB618" s="121" t="s">
        <v>478</v>
      </c>
    </row>
    <row r="619" spans="1:28">
      <c r="A619" s="121">
        <f t="shared" si="9"/>
        <v>618</v>
      </c>
      <c r="B619" s="123">
        <f>YEAR(Table6[[#This Row],[Date]])+IF(MONTH(Table6[[#This Row],[Date]])&gt;=4,1,0)</f>
        <v>2026</v>
      </c>
      <c r="C619" s="121">
        <f>YEAR(Table6[[#This Row],[Date]])</f>
        <v>2025</v>
      </c>
      <c r="D619" s="121" t="s">
        <v>490</v>
      </c>
      <c r="E619" s="135">
        <f>Table6[[#This Row],[Date]]-DAY(Table6[[#This Row],[Date]])+1</f>
        <v>45778</v>
      </c>
      <c r="F619" s="134">
        <v>45802</v>
      </c>
      <c r="G619" s="121" t="s">
        <v>131</v>
      </c>
      <c r="H619" s="39" t="str">
        <f>_xlfn.XLOOKUP(Table6[[#This Row],[Affected WTG]],'Basic Data'!$A:$A,'Basic Data'!$B:$B)</f>
        <v>PWEGPL</v>
      </c>
      <c r="I619" s="39" t="str">
        <f>_xlfn.XLOOKUP(Table6[[#This Row],[Affected WTG]],'Basic Data'!$A:$A,'Basic Data'!$C:$C)</f>
        <v>MSEDCL</v>
      </c>
      <c r="J619" s="363">
        <f>IFERROR(VLOOKUP(Table6[[#This Row],[Affected WTG]],'Basic Data'!$A$3:$E$56,5,0),"")</f>
        <v>2.564102564102564E-2</v>
      </c>
      <c r="K619" s="121" t="s">
        <v>476</v>
      </c>
      <c r="L619" s="39" t="str">
        <f>IFERROR(VLOOKUP(Table6[[#This Row],[Error Code]],'Basic Data'!$T:$U,2,0),"")</f>
        <v>Manual Stop - Preventive Maintenance Activity</v>
      </c>
      <c r="M619" s="364" t="s">
        <v>474</v>
      </c>
      <c r="O619" s="365">
        <v>0.45694444444444443</v>
      </c>
      <c r="P619" s="365">
        <v>0.45694444444444443</v>
      </c>
      <c r="Q619" s="365">
        <v>0.74930555555555556</v>
      </c>
      <c r="R619" s="366">
        <f>IF(Table6[[#This Row],[Work Start TimeStamp]]="","",(Table6[[#This Row],[Work Start TimeStamp]]-Table6[[#This Row],[Fault Start TimeStamp]])*24)</f>
        <v>0</v>
      </c>
      <c r="S619" s="367">
        <f>(Table6[[#This Row],[Fault Clearance time]]-Table6[[#This Row],[Work Start TimeStamp]])*24</f>
        <v>7.0166666666666675</v>
      </c>
      <c r="T619" s="368">
        <f>(Table6[[#This Row],[Fault Clearance time]]-Table6[[#This Row],[Fault Start TimeStamp]])*24</f>
        <v>7.0166666666666675</v>
      </c>
      <c r="U619" s="364" t="s">
        <v>582</v>
      </c>
      <c r="V619" s="364" t="s">
        <v>463</v>
      </c>
      <c r="W619" s="354">
        <f>Table6[[#This Row],[Breakdown Time]]*(1/39)</f>
        <v>0.17991452991452994</v>
      </c>
      <c r="X619" s="352" t="s">
        <v>467</v>
      </c>
      <c r="Y619" s="364" t="s">
        <v>130</v>
      </c>
      <c r="Z619" s="121">
        <v>6898</v>
      </c>
      <c r="AA619" s="123">
        <v>2016.7069444444448</v>
      </c>
      <c r="AB619" s="121" t="s">
        <v>478</v>
      </c>
    </row>
    <row r="620" spans="1:28">
      <c r="A620" s="121">
        <f t="shared" si="9"/>
        <v>619</v>
      </c>
      <c r="B620" s="123">
        <f>YEAR(Table6[[#This Row],[Date]])+IF(MONTH(Table6[[#This Row],[Date]])&gt;=4,1,0)</f>
        <v>2026</v>
      </c>
      <c r="C620" s="121">
        <f>YEAR(Table6[[#This Row],[Date]])</f>
        <v>2025</v>
      </c>
      <c r="D620" s="121" t="s">
        <v>490</v>
      </c>
      <c r="E620" s="135">
        <f>Table6[[#This Row],[Date]]-DAY(Table6[[#This Row],[Date]])+1</f>
        <v>45778</v>
      </c>
      <c r="F620" s="134">
        <v>45802</v>
      </c>
      <c r="G620" s="121" t="s">
        <v>145</v>
      </c>
      <c r="H620" s="39" t="str">
        <f>_xlfn.XLOOKUP(Table6[[#This Row],[Affected WTG]],'Basic Data'!$A:$A,'Basic Data'!$B:$B)</f>
        <v>PWEGPL</v>
      </c>
      <c r="I620" s="39" t="str">
        <f>_xlfn.XLOOKUP(Table6[[#This Row],[Affected WTG]],'Basic Data'!$A:$A,'Basic Data'!$C:$C)</f>
        <v>MSEDCL</v>
      </c>
      <c r="J620" s="363">
        <f>IFERROR(VLOOKUP(Table6[[#This Row],[Affected WTG]],'Basic Data'!$A$3:$E$56,5,0),"")</f>
        <v>2.564102564102564E-2</v>
      </c>
      <c r="K620" s="121" t="s">
        <v>492</v>
      </c>
      <c r="L620" s="39" t="str">
        <f>IFERROR(VLOOKUP(Table6[[#This Row],[Error Code]],'Basic Data'!$T:$U,2,0),"")</f>
        <v>Manual Stop - Safety Related</v>
      </c>
      <c r="M620" s="364" t="s">
        <v>481</v>
      </c>
      <c r="O620" s="365">
        <v>0.52500000000000002</v>
      </c>
      <c r="P620" s="365">
        <v>0.52500000000000002</v>
      </c>
      <c r="Q620" s="365">
        <v>0.58680555555555558</v>
      </c>
      <c r="R620" s="366">
        <f>IF(Table6[[#This Row],[Work Start TimeStamp]]="","",(Table6[[#This Row],[Work Start TimeStamp]]-Table6[[#This Row],[Fault Start TimeStamp]])*24)</f>
        <v>0</v>
      </c>
      <c r="S620" s="377">
        <f>(Table6[[#This Row],[Fault Clearance time]]-Table6[[#This Row],[Work Start TimeStamp]])*24</f>
        <v>1.4833333333333334</v>
      </c>
      <c r="T620" s="378">
        <f>(Table6[[#This Row],[Fault Clearance time]]-Table6[[#This Row],[Fault Start TimeStamp]])*24</f>
        <v>1.4833333333333334</v>
      </c>
      <c r="U620" s="364" t="s">
        <v>508</v>
      </c>
      <c r="V620" s="364" t="s">
        <v>463</v>
      </c>
      <c r="W620" s="354">
        <f>Table6[[#This Row],[Breakdown Time]]*(1/39)</f>
        <v>3.8034188034188038E-2</v>
      </c>
      <c r="X620" s="352" t="s">
        <v>468</v>
      </c>
      <c r="Y620" s="364" t="s">
        <v>139</v>
      </c>
      <c r="Z620" s="121">
        <v>5842</v>
      </c>
      <c r="AA620" s="123">
        <v>361.06805555555553</v>
      </c>
      <c r="AB620" s="121" t="s">
        <v>478</v>
      </c>
    </row>
    <row r="621" spans="1:28">
      <c r="A621" s="121">
        <f t="shared" si="9"/>
        <v>620</v>
      </c>
      <c r="B621" s="123">
        <f>YEAR(Table6[[#This Row],[Date]])+IF(MONTH(Table6[[#This Row],[Date]])&gt;=4,1,0)</f>
        <v>2026</v>
      </c>
      <c r="C621" s="121">
        <f>YEAR(Table6[[#This Row],[Date]])</f>
        <v>2025</v>
      </c>
      <c r="D621" s="121" t="s">
        <v>490</v>
      </c>
      <c r="E621" s="135">
        <f>Table6[[#This Row],[Date]]-DAY(Table6[[#This Row],[Date]])+1</f>
        <v>45778</v>
      </c>
      <c r="F621" s="134">
        <v>45803</v>
      </c>
      <c r="G621" s="121" t="s">
        <v>144</v>
      </c>
      <c r="H621" s="39" t="str">
        <f>_xlfn.XLOOKUP(Table6[[#This Row],[Affected WTG]],'Basic Data'!$A:$A,'Basic Data'!$B:$B)</f>
        <v>PWEGPL</v>
      </c>
      <c r="I621" s="39" t="str">
        <f>_xlfn.XLOOKUP(Table6[[#This Row],[Affected WTG]],'Basic Data'!$A:$A,'Basic Data'!$C:$C)</f>
        <v>MSEDCL</v>
      </c>
      <c r="J621" s="363">
        <f>IFERROR(VLOOKUP(Table6[[#This Row],[Affected WTG]],'Basic Data'!$A$3:$E$56,5,0),"")</f>
        <v>2.564102564102564E-2</v>
      </c>
      <c r="K621" s="121" t="s">
        <v>492</v>
      </c>
      <c r="L621" s="39" t="str">
        <f>IFERROR(VLOOKUP(Table6[[#This Row],[Error Code]],'Basic Data'!$T:$U,2,0),"")</f>
        <v>Manual Stop - Safety Related</v>
      </c>
      <c r="M621" s="364" t="s">
        <v>481</v>
      </c>
      <c r="O621" s="365">
        <v>0</v>
      </c>
      <c r="P621" s="365">
        <v>0.99930555555555556</v>
      </c>
      <c r="Q621" s="365">
        <v>0.99930555555555556</v>
      </c>
      <c r="R621" s="366">
        <f>IF(Table6[[#This Row],[Work Start TimeStamp]]="","",(Table6[[#This Row],[Work Start TimeStamp]]-Table6[[#This Row],[Fault Start TimeStamp]])*24)</f>
        <v>23.983333333333334</v>
      </c>
      <c r="S621" s="377">
        <f>(Table6[[#This Row],[Fault Clearance time]]-Table6[[#This Row],[Work Start TimeStamp]])*24</f>
        <v>0</v>
      </c>
      <c r="T621" s="378">
        <f>(Table6[[#This Row],[Fault Clearance time]]-Table6[[#This Row],[Fault Start TimeStamp]])*24</f>
        <v>23.983333333333334</v>
      </c>
      <c r="U621" s="364" t="s">
        <v>498</v>
      </c>
      <c r="V621" s="364" t="s">
        <v>473</v>
      </c>
      <c r="W621" s="354">
        <f>Table6[[#This Row],[Breakdown Time]]*(1/39)</f>
        <v>0.61495726495726499</v>
      </c>
      <c r="X621" s="352" t="s">
        <v>468</v>
      </c>
      <c r="Y621" s="364" t="s">
        <v>141</v>
      </c>
      <c r="Z621" s="121">
        <v>3649</v>
      </c>
      <c r="AA621" s="123">
        <v>3646.4659722222223</v>
      </c>
      <c r="AB621" s="121" t="s">
        <v>478</v>
      </c>
    </row>
    <row r="622" spans="1:28">
      <c r="A622" s="121">
        <f t="shared" si="9"/>
        <v>621</v>
      </c>
      <c r="B622" s="123">
        <f>YEAR(Table6[[#This Row],[Date]])+IF(MONTH(Table6[[#This Row],[Date]])&gt;=4,1,0)</f>
        <v>2026</v>
      </c>
      <c r="C622" s="121">
        <f>YEAR(Table6[[#This Row],[Date]])</f>
        <v>2025</v>
      </c>
      <c r="D622" s="121" t="s">
        <v>490</v>
      </c>
      <c r="E622" s="135">
        <f>Table6[[#This Row],[Date]]-DAY(Table6[[#This Row],[Date]])+1</f>
        <v>45778</v>
      </c>
      <c r="F622" s="134">
        <v>45803</v>
      </c>
      <c r="G622" s="121" t="s">
        <v>142</v>
      </c>
      <c r="H622" s="39" t="str">
        <f>_xlfn.XLOOKUP(Table6[[#This Row],[Affected WTG]],'Basic Data'!$A:$A,'Basic Data'!$B:$B)</f>
        <v>PWEGPL</v>
      </c>
      <c r="I622" s="39" t="str">
        <f>_xlfn.XLOOKUP(Table6[[#This Row],[Affected WTG]],'Basic Data'!$A:$A,'Basic Data'!$C:$C)</f>
        <v>MSEDCL</v>
      </c>
      <c r="J622" s="363">
        <f>IFERROR(VLOOKUP(Table6[[#This Row],[Affected WTG]],'Basic Data'!$A$3:$E$56,5,0),"")</f>
        <v>2.564102564102564E-2</v>
      </c>
      <c r="K622" s="121" t="s">
        <v>492</v>
      </c>
      <c r="L622" s="39" t="str">
        <f>IFERROR(VLOOKUP(Table6[[#This Row],[Error Code]],'Basic Data'!$T:$U,2,0),"")</f>
        <v>Manual Stop - Safety Related</v>
      </c>
      <c r="M622" s="364" t="s">
        <v>481</v>
      </c>
      <c r="O622" s="365">
        <v>0</v>
      </c>
      <c r="P622" s="365">
        <v>0.99930555555555556</v>
      </c>
      <c r="Q622" s="365">
        <v>0.99930555555555556</v>
      </c>
      <c r="R622" s="366">
        <f>IF(Table6[[#This Row],[Work Start TimeStamp]]="","",(Table6[[#This Row],[Work Start TimeStamp]]-Table6[[#This Row],[Fault Start TimeStamp]])*24)</f>
        <v>23.983333333333334</v>
      </c>
      <c r="S622" s="377">
        <f>(Table6[[#This Row],[Fault Clearance time]]-Table6[[#This Row],[Work Start TimeStamp]])*24</f>
        <v>0</v>
      </c>
      <c r="T622" s="378">
        <f>(Table6[[#This Row],[Fault Clearance time]]-Table6[[#This Row],[Fault Start TimeStamp]])*24</f>
        <v>23.983333333333334</v>
      </c>
      <c r="U622" s="364" t="s">
        <v>498</v>
      </c>
      <c r="V622" s="364" t="s">
        <v>473</v>
      </c>
      <c r="W622" s="354">
        <f>Table6[[#This Row],[Breakdown Time]]*(1/39)</f>
        <v>0.61495726495726499</v>
      </c>
      <c r="X622" s="352" t="s">
        <v>468</v>
      </c>
      <c r="Y622" s="364" t="s">
        <v>141</v>
      </c>
      <c r="Z622" s="121">
        <v>3649</v>
      </c>
      <c r="AA622" s="123">
        <v>3646.4659722222223</v>
      </c>
      <c r="AB622" s="121" t="s">
        <v>478</v>
      </c>
    </row>
    <row r="623" spans="1:28">
      <c r="A623" s="121">
        <f t="shared" si="9"/>
        <v>622</v>
      </c>
      <c r="B623" s="123">
        <f>YEAR(Table6[[#This Row],[Date]])+IF(MONTH(Table6[[#This Row],[Date]])&gt;=4,1,0)</f>
        <v>2026</v>
      </c>
      <c r="C623" s="121">
        <f>YEAR(Table6[[#This Row],[Date]])</f>
        <v>2025</v>
      </c>
      <c r="D623" s="121" t="s">
        <v>490</v>
      </c>
      <c r="E623" s="135">
        <f>Table6[[#This Row],[Date]]-DAY(Table6[[#This Row],[Date]])+1</f>
        <v>45778</v>
      </c>
      <c r="F623" s="134">
        <v>45803</v>
      </c>
      <c r="G623" s="121" t="s">
        <v>118</v>
      </c>
      <c r="H623" s="39" t="str">
        <f>_xlfn.XLOOKUP(Table6[[#This Row],[Affected WTG]],'Basic Data'!$A:$A,'Basic Data'!$B:$B)</f>
        <v>PWEGPL</v>
      </c>
      <c r="I623" s="39" t="str">
        <f>_xlfn.XLOOKUP(Table6[[#This Row],[Affected WTG]],'Basic Data'!$A:$A,'Basic Data'!$C:$C)</f>
        <v>MSEDCL</v>
      </c>
      <c r="J623" s="363">
        <f>IFERROR(VLOOKUP(Table6[[#This Row],[Affected WTG]],'Basic Data'!$A$3:$E$56,5,0),"")</f>
        <v>2.564102564102564E-2</v>
      </c>
      <c r="K623" s="121">
        <v>2118</v>
      </c>
      <c r="L623" s="39" t="str">
        <f>IFERROR(VLOOKUP(Table6[[#This Row],[Error Code]],'Basic Data'!$T:$U,2,0),"")</f>
        <v>Bus Error - Interbus Failure</v>
      </c>
      <c r="M623" s="364" t="s">
        <v>462</v>
      </c>
      <c r="O623" s="365">
        <v>0.83333333333333337</v>
      </c>
      <c r="P623" s="365">
        <v>0.87361111111111112</v>
      </c>
      <c r="Q623" s="365">
        <v>0.875</v>
      </c>
      <c r="R623" s="366">
        <f>IF(Table6[[#This Row],[Work Start TimeStamp]]="","",(Table6[[#This Row],[Work Start TimeStamp]]-Table6[[#This Row],[Fault Start TimeStamp]])*24)</f>
        <v>0.9666666666666659</v>
      </c>
      <c r="S623" s="377">
        <f>(Table6[[#This Row],[Fault Clearance time]]-Table6[[#This Row],[Work Start TimeStamp]])*24</f>
        <v>3.3333333333333215E-2</v>
      </c>
      <c r="T623" s="378">
        <f>(Table6[[#This Row],[Fault Clearance time]]-Table6[[#This Row],[Fault Start TimeStamp]])*24</f>
        <v>0.99999999999999911</v>
      </c>
      <c r="U623" s="364" t="s">
        <v>493</v>
      </c>
      <c r="V623" s="364" t="s">
        <v>463</v>
      </c>
      <c r="W623" s="354">
        <f>Table6[[#This Row],[Breakdown Time]]*(1/39)</f>
        <v>2.5641025641025616E-2</v>
      </c>
      <c r="X623" s="352" t="s">
        <v>465</v>
      </c>
      <c r="Y623" s="364" t="s">
        <v>117</v>
      </c>
      <c r="Z623" s="121">
        <v>4421</v>
      </c>
      <c r="AA623" s="123">
        <v>184.20833333333317</v>
      </c>
      <c r="AB623" s="121" t="s">
        <v>478</v>
      </c>
    </row>
    <row r="624" spans="1:28">
      <c r="A624" s="121">
        <f t="shared" si="9"/>
        <v>623</v>
      </c>
      <c r="B624" s="123">
        <f>YEAR(Table6[[#This Row],[Date]])+IF(MONTH(Table6[[#This Row],[Date]])&gt;=4,1,0)</f>
        <v>2026</v>
      </c>
      <c r="C624" s="121">
        <f>YEAR(Table6[[#This Row],[Date]])</f>
        <v>2025</v>
      </c>
      <c r="D624" s="121" t="s">
        <v>490</v>
      </c>
      <c r="E624" s="135">
        <f>Table6[[#This Row],[Date]]-DAY(Table6[[#This Row],[Date]])+1</f>
        <v>45778</v>
      </c>
      <c r="F624" s="134">
        <v>45803</v>
      </c>
      <c r="G624" s="121" t="s">
        <v>132</v>
      </c>
      <c r="H624" s="39" t="str">
        <f>_xlfn.XLOOKUP(Table6[[#This Row],[Affected WTG]],'Basic Data'!$A:$A,'Basic Data'!$B:$B)</f>
        <v>PWEGPL</v>
      </c>
      <c r="I624" s="39" t="str">
        <f>_xlfn.XLOOKUP(Table6[[#This Row],[Affected WTG]],'Basic Data'!$A:$A,'Basic Data'!$C:$C)</f>
        <v>MSEDCL</v>
      </c>
      <c r="J624" s="363">
        <f>IFERROR(VLOOKUP(Table6[[#This Row],[Affected WTG]],'Basic Data'!$A$3:$E$56,5,0),"")</f>
        <v>2.564102564102564E-2</v>
      </c>
      <c r="K624" s="121" t="s">
        <v>476</v>
      </c>
      <c r="L624" s="39" t="str">
        <f>IFERROR(VLOOKUP(Table6[[#This Row],[Error Code]],'Basic Data'!$T:$U,2,0),"")</f>
        <v>Manual Stop - Preventive Maintenance Activity</v>
      </c>
      <c r="M624" s="364" t="s">
        <v>474</v>
      </c>
      <c r="O624" s="365">
        <v>0.54513888888888884</v>
      </c>
      <c r="P624" s="365">
        <v>0.54513888888888884</v>
      </c>
      <c r="Q624" s="365">
        <v>0.82708333333333328</v>
      </c>
      <c r="R624" s="366">
        <f>IF(Table6[[#This Row],[Work Start TimeStamp]]="","",(Table6[[#This Row],[Work Start TimeStamp]]-Table6[[#This Row],[Fault Start TimeStamp]])*24)</f>
        <v>0</v>
      </c>
      <c r="S624" s="367">
        <f>(Table6[[#This Row],[Fault Clearance time]]-Table6[[#This Row],[Work Start TimeStamp]])*24</f>
        <v>6.7666666666666666</v>
      </c>
      <c r="T624" s="368">
        <f>(Table6[[#This Row],[Fault Clearance time]]-Table6[[#This Row],[Fault Start TimeStamp]])*24</f>
        <v>6.7666666666666666</v>
      </c>
      <c r="U624" s="364" t="s">
        <v>582</v>
      </c>
      <c r="V624" s="364" t="s">
        <v>463</v>
      </c>
      <c r="W624" s="354">
        <f>Table6[[#This Row],[Breakdown Time]]*(1/39)</f>
        <v>0.1735042735042735</v>
      </c>
      <c r="X624" s="352" t="s">
        <v>467</v>
      </c>
      <c r="Y624" s="364" t="s">
        <v>131</v>
      </c>
      <c r="Z624" s="121">
        <v>3753</v>
      </c>
      <c r="AA624" s="123">
        <v>1058.1375</v>
      </c>
      <c r="AB624" s="121" t="s">
        <v>478</v>
      </c>
    </row>
    <row r="625" spans="1:28">
      <c r="A625" s="121">
        <f t="shared" si="9"/>
        <v>624</v>
      </c>
      <c r="B625" s="123">
        <f>YEAR(Table6[[#This Row],[Date]])+IF(MONTH(Table6[[#This Row],[Date]])&gt;=4,1,0)</f>
        <v>2026</v>
      </c>
      <c r="C625" s="121">
        <f>YEAR(Table6[[#This Row],[Date]])</f>
        <v>2025</v>
      </c>
      <c r="D625" s="121" t="s">
        <v>490</v>
      </c>
      <c r="E625" s="135">
        <f>Table6[[#This Row],[Date]]-DAY(Table6[[#This Row],[Date]])+1</f>
        <v>45778</v>
      </c>
      <c r="F625" s="134">
        <v>45803</v>
      </c>
      <c r="G625" s="121" t="s">
        <v>133</v>
      </c>
      <c r="H625" s="39" t="str">
        <f>_xlfn.XLOOKUP(Table6[[#This Row],[Affected WTG]],'Basic Data'!$A:$A,'Basic Data'!$B:$B)</f>
        <v>PWEGPL</v>
      </c>
      <c r="I625" s="39" t="str">
        <f>_xlfn.XLOOKUP(Table6[[#This Row],[Affected WTG]],'Basic Data'!$A:$A,'Basic Data'!$C:$C)</f>
        <v>MSEDCL</v>
      </c>
      <c r="J625" s="363">
        <f>IFERROR(VLOOKUP(Table6[[#This Row],[Affected WTG]],'Basic Data'!$A$3:$E$56,5,0),"")</f>
        <v>2.564102564102564E-2</v>
      </c>
      <c r="K625" s="121" t="s">
        <v>476</v>
      </c>
      <c r="L625" s="39" t="str">
        <f>IFERROR(VLOOKUP(Table6[[#This Row],[Error Code]],'Basic Data'!$T:$U,2,0),"")</f>
        <v>Manual Stop - Preventive Maintenance Activity</v>
      </c>
      <c r="M625" s="364" t="s">
        <v>474</v>
      </c>
      <c r="O625" s="365">
        <v>0.47291666666666665</v>
      </c>
      <c r="P625" s="365">
        <v>0.47291666666666665</v>
      </c>
      <c r="Q625" s="365">
        <v>0.76041666666666663</v>
      </c>
      <c r="R625" s="366">
        <f>IF(Table6[[#This Row],[Work Start TimeStamp]]="","",(Table6[[#This Row],[Work Start TimeStamp]]-Table6[[#This Row],[Fault Start TimeStamp]])*24)</f>
        <v>0</v>
      </c>
      <c r="S625" s="367">
        <f>(Table6[[#This Row],[Fault Clearance time]]-Table6[[#This Row],[Work Start TimeStamp]])*24</f>
        <v>6.8999999999999995</v>
      </c>
      <c r="T625" s="368">
        <f>(Table6[[#This Row],[Fault Clearance time]]-Table6[[#This Row],[Fault Start TimeStamp]])*24</f>
        <v>6.8999999999999995</v>
      </c>
      <c r="U625" s="364" t="s">
        <v>582</v>
      </c>
      <c r="V625" s="364" t="s">
        <v>463</v>
      </c>
      <c r="W625" s="354">
        <f>Table6[[#This Row],[Breakdown Time]]*(1/39)</f>
        <v>0.17692307692307691</v>
      </c>
      <c r="X625" s="352" t="s">
        <v>467</v>
      </c>
      <c r="Y625" s="364" t="s">
        <v>134</v>
      </c>
      <c r="Z625" s="121">
        <v>3758</v>
      </c>
      <c r="AA625" s="123">
        <v>1080.425</v>
      </c>
      <c r="AB625" s="121" t="s">
        <v>478</v>
      </c>
    </row>
    <row r="626" spans="1:28">
      <c r="A626" s="121">
        <f t="shared" si="9"/>
        <v>625</v>
      </c>
      <c r="B626" s="123">
        <f>YEAR(Table6[[#This Row],[Date]])+IF(MONTH(Table6[[#This Row],[Date]])&gt;=4,1,0)</f>
        <v>2026</v>
      </c>
      <c r="C626" s="121">
        <f>YEAR(Table6[[#This Row],[Date]])</f>
        <v>2025</v>
      </c>
      <c r="D626" s="121" t="s">
        <v>490</v>
      </c>
      <c r="E626" s="135">
        <f>Table6[[#This Row],[Date]]-DAY(Table6[[#This Row],[Date]])+1</f>
        <v>45778</v>
      </c>
      <c r="F626" s="134">
        <v>45803</v>
      </c>
      <c r="G626" s="121" t="s">
        <v>138</v>
      </c>
      <c r="H626" s="39" t="str">
        <f>_xlfn.XLOOKUP(Table6[[#This Row],[Affected WTG]],'Basic Data'!$A:$A,'Basic Data'!$B:$B)</f>
        <v>PWEGPL</v>
      </c>
      <c r="I626" s="39" t="str">
        <f>_xlfn.XLOOKUP(Table6[[#This Row],[Affected WTG]],'Basic Data'!$A:$A,'Basic Data'!$C:$C)</f>
        <v>MSEDCL</v>
      </c>
      <c r="J626" s="363">
        <f>IFERROR(VLOOKUP(Table6[[#This Row],[Affected WTG]],'Basic Data'!$A$3:$E$56,5,0),"")</f>
        <v>2.564102564102564E-2</v>
      </c>
      <c r="K626" s="121">
        <v>5203</v>
      </c>
      <c r="L626" s="39" t="str">
        <f>IFERROR(VLOOKUP(Table6[[#This Row],[Error Code]],'Basic Data'!$T:$U,2,0),"")</f>
        <v>Heating/Coolant Thermal Magnetic Failure</v>
      </c>
      <c r="M626" s="364" t="s">
        <v>462</v>
      </c>
      <c r="O626" s="365">
        <v>0.54305555555555551</v>
      </c>
      <c r="P626" s="365">
        <v>0.56597222222222221</v>
      </c>
      <c r="Q626" s="365">
        <v>0.63194444444444442</v>
      </c>
      <c r="R626" s="366">
        <f>IF(Table6[[#This Row],[Work Start TimeStamp]]="","",(Table6[[#This Row],[Work Start TimeStamp]]-Table6[[#This Row],[Fault Start TimeStamp]])*24)</f>
        <v>0.55000000000000071</v>
      </c>
      <c r="S626" s="377">
        <f>(Table6[[#This Row],[Fault Clearance time]]-Table6[[#This Row],[Work Start TimeStamp]])*24</f>
        <v>1.583333333333333</v>
      </c>
      <c r="T626" s="378">
        <f>(Table6[[#This Row],[Fault Clearance time]]-Table6[[#This Row],[Fault Start TimeStamp]])*24</f>
        <v>2.1333333333333337</v>
      </c>
      <c r="U626" s="364" t="s">
        <v>1179</v>
      </c>
      <c r="V626" s="364" t="s">
        <v>463</v>
      </c>
      <c r="W626" s="354">
        <f>Table6[[#This Row],[Breakdown Time]]*(1/39)</f>
        <v>5.4700854700854708E-2</v>
      </c>
      <c r="X626" s="352" t="s">
        <v>465</v>
      </c>
      <c r="Y626" s="364" t="s">
        <v>140</v>
      </c>
      <c r="Z626" s="121">
        <v>3652</v>
      </c>
      <c r="AA626" s="123">
        <v>324.62222222222226</v>
      </c>
      <c r="AB626" s="121" t="s">
        <v>478</v>
      </c>
    </row>
    <row r="627" spans="1:28">
      <c r="A627" s="121">
        <f t="shared" si="9"/>
        <v>626</v>
      </c>
      <c r="B627" s="123">
        <f>YEAR(Table6[[#This Row],[Date]])+IF(MONTH(Table6[[#This Row],[Date]])&gt;=4,1,0)</f>
        <v>2026</v>
      </c>
      <c r="C627" s="121">
        <f>YEAR(Table6[[#This Row],[Date]])</f>
        <v>2025</v>
      </c>
      <c r="D627" s="121" t="s">
        <v>490</v>
      </c>
      <c r="E627" s="135">
        <f>Table6[[#This Row],[Date]]-DAY(Table6[[#This Row],[Date]])+1</f>
        <v>45778</v>
      </c>
      <c r="F627" s="134">
        <v>45803</v>
      </c>
      <c r="G627" s="121" t="s">
        <v>138</v>
      </c>
      <c r="H627" s="39" t="str">
        <f>_xlfn.XLOOKUP(Table6[[#This Row],[Affected WTG]],'Basic Data'!$A:$A,'Basic Data'!$B:$B)</f>
        <v>PWEGPL</v>
      </c>
      <c r="I627" s="39" t="str">
        <f>_xlfn.XLOOKUP(Table6[[#This Row],[Affected WTG]],'Basic Data'!$A:$A,'Basic Data'!$C:$C)</f>
        <v>MSEDCL</v>
      </c>
      <c r="J627" s="363">
        <f>IFERROR(VLOOKUP(Table6[[#This Row],[Affected WTG]],'Basic Data'!$A$3:$E$56,5,0),"")</f>
        <v>2.564102564102564E-2</v>
      </c>
      <c r="K627" s="121">
        <v>5203</v>
      </c>
      <c r="L627" s="39" t="str">
        <f>IFERROR(VLOOKUP(Table6[[#This Row],[Error Code]],'Basic Data'!$T:$U,2,0),"")</f>
        <v>Heating/Coolant Thermal Magnetic Failure</v>
      </c>
      <c r="M627" s="364" t="s">
        <v>462</v>
      </c>
      <c r="O627" s="365">
        <v>0.96944444444444444</v>
      </c>
      <c r="P627" s="365">
        <v>0.98611111111111116</v>
      </c>
      <c r="Q627" s="365">
        <v>0.99930555555555556</v>
      </c>
      <c r="R627" s="366">
        <f>IF(Table6[[#This Row],[Work Start TimeStamp]]="","",(Table6[[#This Row],[Work Start TimeStamp]]-Table6[[#This Row],[Fault Start TimeStamp]])*24)</f>
        <v>0.40000000000000124</v>
      </c>
      <c r="S627" s="377">
        <f>(Table6[[#This Row],[Fault Clearance time]]-Table6[[#This Row],[Work Start TimeStamp]])*24</f>
        <v>0.31666666666666554</v>
      </c>
      <c r="T627" s="378">
        <f>(Table6[[#This Row],[Fault Clearance time]]-Table6[[#This Row],[Fault Start TimeStamp]])*24</f>
        <v>0.71666666666666679</v>
      </c>
      <c r="U627" s="364" t="s">
        <v>500</v>
      </c>
      <c r="V627" s="364" t="s">
        <v>473</v>
      </c>
      <c r="W627" s="354">
        <f>Table6[[#This Row],[Breakdown Time]]*(1/39)</f>
        <v>1.837606837606838E-2</v>
      </c>
      <c r="X627" s="352" t="s">
        <v>465</v>
      </c>
      <c r="Y627" s="364" t="s">
        <v>140</v>
      </c>
      <c r="Z627" s="121">
        <v>3652</v>
      </c>
      <c r="AA627" s="123">
        <v>109.05277777777779</v>
      </c>
      <c r="AB627" s="121" t="s">
        <v>478</v>
      </c>
    </row>
    <row r="628" spans="1:28">
      <c r="A628" s="121">
        <f t="shared" si="9"/>
        <v>627</v>
      </c>
      <c r="B628" s="123">
        <f>YEAR(Table6[[#This Row],[Date]])+IF(MONTH(Table6[[#This Row],[Date]])&gt;=4,1,0)</f>
        <v>2026</v>
      </c>
      <c r="C628" s="121">
        <f>YEAR(Table6[[#This Row],[Date]])</f>
        <v>2025</v>
      </c>
      <c r="D628" s="121" t="s">
        <v>490</v>
      </c>
      <c r="E628" s="135">
        <f>Table6[[#This Row],[Date]]-DAY(Table6[[#This Row],[Date]])+1</f>
        <v>45778</v>
      </c>
      <c r="F628" s="134">
        <v>45803</v>
      </c>
      <c r="G628" s="121" t="s">
        <v>143</v>
      </c>
      <c r="H628" s="39" t="str">
        <f>_xlfn.XLOOKUP(Table6[[#This Row],[Affected WTG]],'Basic Data'!$A:$A,'Basic Data'!$B:$B)</f>
        <v>PWEGPL</v>
      </c>
      <c r="I628" s="39" t="str">
        <f>_xlfn.XLOOKUP(Table6[[#This Row],[Affected WTG]],'Basic Data'!$A:$A,'Basic Data'!$C:$C)</f>
        <v>MSEDCL</v>
      </c>
      <c r="J628" s="363">
        <f>IFERROR(VLOOKUP(Table6[[#This Row],[Affected WTG]],'Basic Data'!$A$3:$E$56,5,0),"")</f>
        <v>2.564102564102564E-2</v>
      </c>
      <c r="K628" s="121">
        <v>208</v>
      </c>
      <c r="L628" s="39" t="str">
        <f>IFERROR(VLOOKUP(Table6[[#This Row],[Error Code]],'Basic Data'!$T:$U,2,0),"")</f>
        <v>HU Pump Drive Failure</v>
      </c>
      <c r="M628" s="364" t="s">
        <v>462</v>
      </c>
      <c r="O628" s="365">
        <v>0.67708333333333337</v>
      </c>
      <c r="P628" s="365">
        <v>0.70347222222222228</v>
      </c>
      <c r="Q628" s="365">
        <v>0.72916666666666663</v>
      </c>
      <c r="R628" s="366">
        <f>IF(Table6[[#This Row],[Work Start TimeStamp]]="","",(Table6[[#This Row],[Work Start TimeStamp]]-Table6[[#This Row],[Fault Start TimeStamp]])*24)</f>
        <v>0.63333333333333375</v>
      </c>
      <c r="S628" s="377">
        <f>(Table6[[#This Row],[Fault Clearance time]]-Table6[[#This Row],[Work Start TimeStamp]])*24</f>
        <v>0.61666666666666448</v>
      </c>
      <c r="T628" s="378">
        <f>(Table6[[#This Row],[Fault Clearance time]]-Table6[[#This Row],[Fault Start TimeStamp]])*24</f>
        <v>1.2499999999999982</v>
      </c>
      <c r="U628" s="364" t="s">
        <v>506</v>
      </c>
      <c r="V628" s="364" t="s">
        <v>463</v>
      </c>
      <c r="W628" s="354">
        <f>Table6[[#This Row],[Breakdown Time]]*(1/39)</f>
        <v>3.2051282051282007E-2</v>
      </c>
      <c r="X628" s="352" t="s">
        <v>465</v>
      </c>
      <c r="Y628" s="364" t="s">
        <v>141</v>
      </c>
      <c r="Z628" s="121">
        <v>3649</v>
      </c>
      <c r="AA628" s="123">
        <v>190.05208333333306</v>
      </c>
      <c r="AB628" s="121" t="s">
        <v>478</v>
      </c>
    </row>
    <row r="629" spans="1:28">
      <c r="A629" s="121">
        <f t="shared" si="9"/>
        <v>628</v>
      </c>
      <c r="B629" s="123">
        <f>YEAR(Table6[[#This Row],[Date]])+IF(MONTH(Table6[[#This Row],[Date]])&gt;=4,1,0)</f>
        <v>2026</v>
      </c>
      <c r="C629" s="121">
        <f>YEAR(Table6[[#This Row],[Date]])</f>
        <v>2025</v>
      </c>
      <c r="D629" s="121" t="s">
        <v>490</v>
      </c>
      <c r="E629" s="135">
        <f>Table6[[#This Row],[Date]]-DAY(Table6[[#This Row],[Date]])+1</f>
        <v>45778</v>
      </c>
      <c r="F629" s="134">
        <v>45803</v>
      </c>
      <c r="G629" s="121" t="s">
        <v>153</v>
      </c>
      <c r="H629" s="39" t="str">
        <f>_xlfn.XLOOKUP(Table6[[#This Row],[Affected WTG]],'Basic Data'!$A:$A,'Basic Data'!$B:$B)</f>
        <v>PWEGPL</v>
      </c>
      <c r="I629" s="39" t="str">
        <f>_xlfn.XLOOKUP(Table6[[#This Row],[Affected WTG]],'Basic Data'!$A:$A,'Basic Data'!$C:$C)</f>
        <v>MSEDCL</v>
      </c>
      <c r="J629" s="363">
        <f>IFERROR(VLOOKUP(Table6[[#This Row],[Affected WTG]],'Basic Data'!$A$3:$E$56,5,0),"")</f>
        <v>2.564102564102564E-2</v>
      </c>
      <c r="K629" s="121">
        <v>2118</v>
      </c>
      <c r="L629" s="39" t="str">
        <f>IFERROR(VLOOKUP(Table6[[#This Row],[Error Code]],'Basic Data'!$T:$U,2,0),"")</f>
        <v>Bus Error - Interbus Failure</v>
      </c>
      <c r="M629" s="364" t="s">
        <v>462</v>
      </c>
      <c r="O629" s="365">
        <v>0.70833333333333337</v>
      </c>
      <c r="P629" s="365">
        <v>0.74861111111111112</v>
      </c>
      <c r="Q629" s="365">
        <v>0.75</v>
      </c>
      <c r="R629" s="366">
        <f>IF(Table6[[#This Row],[Work Start TimeStamp]]="","",(Table6[[#This Row],[Work Start TimeStamp]]-Table6[[#This Row],[Fault Start TimeStamp]])*24)</f>
        <v>0.9666666666666659</v>
      </c>
      <c r="S629" s="377">
        <f>(Table6[[#This Row],[Fault Clearance time]]-Table6[[#This Row],[Work Start TimeStamp]])*24</f>
        <v>3.3333333333333215E-2</v>
      </c>
      <c r="T629" s="378">
        <f>(Table6[[#This Row],[Fault Clearance time]]-Table6[[#This Row],[Fault Start TimeStamp]])*24</f>
        <v>0.99999999999999911</v>
      </c>
      <c r="U629" s="364" t="s">
        <v>493</v>
      </c>
      <c r="V629" s="364" t="s">
        <v>463</v>
      </c>
      <c r="W629" s="354">
        <f>Table6[[#This Row],[Breakdown Time]]*(1/39)</f>
        <v>2.5641025641025616E-2</v>
      </c>
      <c r="X629" s="352" t="s">
        <v>465</v>
      </c>
      <c r="Y629" s="364" t="s">
        <v>152</v>
      </c>
      <c r="Z629" s="121">
        <v>3529</v>
      </c>
      <c r="AA629" s="123">
        <v>147.04166666666652</v>
      </c>
      <c r="AB629" s="121" t="s">
        <v>478</v>
      </c>
    </row>
    <row r="630" spans="1:28">
      <c r="A630" s="121">
        <f t="shared" si="9"/>
        <v>629</v>
      </c>
      <c r="B630" s="123">
        <f>YEAR(Table6[[#This Row],[Date]])+IF(MONTH(Table6[[#This Row],[Date]])&gt;=4,1,0)</f>
        <v>2026</v>
      </c>
      <c r="C630" s="121">
        <f>YEAR(Table6[[#This Row],[Date]])</f>
        <v>2025</v>
      </c>
      <c r="D630" s="121" t="s">
        <v>490</v>
      </c>
      <c r="E630" s="135">
        <f>Table6[[#This Row],[Date]]-DAY(Table6[[#This Row],[Date]])+1</f>
        <v>45778</v>
      </c>
      <c r="F630" s="134">
        <v>45804</v>
      </c>
      <c r="G630" s="121" t="s">
        <v>144</v>
      </c>
      <c r="H630" s="39" t="str">
        <f>_xlfn.XLOOKUP(Table6[[#This Row],[Affected WTG]],'Basic Data'!$A:$A,'Basic Data'!$B:$B)</f>
        <v>PWEGPL</v>
      </c>
      <c r="I630" s="39" t="str">
        <f>_xlfn.XLOOKUP(Table6[[#This Row],[Affected WTG]],'Basic Data'!$A:$A,'Basic Data'!$C:$C)</f>
        <v>MSEDCL</v>
      </c>
      <c r="J630" s="363">
        <f>IFERROR(VLOOKUP(Table6[[#This Row],[Affected WTG]],'Basic Data'!$A$3:$E$56,5,0),"")</f>
        <v>2.564102564102564E-2</v>
      </c>
      <c r="K630" s="121" t="s">
        <v>492</v>
      </c>
      <c r="L630" s="39" t="str">
        <f>IFERROR(VLOOKUP(Table6[[#This Row],[Error Code]],'Basic Data'!$T:$U,2,0),"")</f>
        <v>Manual Stop - Safety Related</v>
      </c>
      <c r="M630" s="364" t="s">
        <v>481</v>
      </c>
      <c r="O630" s="365">
        <v>0</v>
      </c>
      <c r="P630" s="365">
        <v>0.99930555555555556</v>
      </c>
      <c r="Q630" s="365">
        <v>0.99930555555555556</v>
      </c>
      <c r="R630" s="366">
        <f>IF(Table6[[#This Row],[Work Start TimeStamp]]="","",(Table6[[#This Row],[Work Start TimeStamp]]-Table6[[#This Row],[Fault Start TimeStamp]])*24)</f>
        <v>23.983333333333334</v>
      </c>
      <c r="S630" s="377">
        <f>(Table6[[#This Row],[Fault Clearance time]]-Table6[[#This Row],[Work Start TimeStamp]])*24</f>
        <v>0</v>
      </c>
      <c r="T630" s="378">
        <f>(Table6[[#This Row],[Fault Clearance time]]-Table6[[#This Row],[Fault Start TimeStamp]])*24</f>
        <v>23.983333333333334</v>
      </c>
      <c r="U630" s="364" t="s">
        <v>498</v>
      </c>
      <c r="V630" s="364" t="s">
        <v>473</v>
      </c>
      <c r="W630" s="354">
        <f>Table6[[#This Row],[Breakdown Time]]*(1/39)</f>
        <v>0.61495726495726499</v>
      </c>
      <c r="X630" s="352" t="s">
        <v>468</v>
      </c>
      <c r="Y630" s="364" t="s">
        <v>141</v>
      </c>
      <c r="Z630" s="121">
        <v>11859</v>
      </c>
      <c r="AA630" s="123">
        <v>11850.764583333334</v>
      </c>
      <c r="AB630" s="121" t="s">
        <v>478</v>
      </c>
    </row>
    <row r="631" spans="1:28">
      <c r="A631" s="121">
        <f t="shared" si="9"/>
        <v>630</v>
      </c>
      <c r="B631" s="123">
        <f>YEAR(Table6[[#This Row],[Date]])+IF(MONTH(Table6[[#This Row],[Date]])&gt;=4,1,0)</f>
        <v>2026</v>
      </c>
      <c r="C631" s="121">
        <f>YEAR(Table6[[#This Row],[Date]])</f>
        <v>2025</v>
      </c>
      <c r="D631" s="121" t="s">
        <v>490</v>
      </c>
      <c r="E631" s="135">
        <f>Table6[[#This Row],[Date]]-DAY(Table6[[#This Row],[Date]])+1</f>
        <v>45778</v>
      </c>
      <c r="F631" s="134">
        <v>45804</v>
      </c>
      <c r="G631" s="121" t="s">
        <v>142</v>
      </c>
      <c r="H631" s="39" t="str">
        <f>_xlfn.XLOOKUP(Table6[[#This Row],[Affected WTG]],'Basic Data'!$A:$A,'Basic Data'!$B:$B)</f>
        <v>PWEGPL</v>
      </c>
      <c r="I631" s="39" t="str">
        <f>_xlfn.XLOOKUP(Table6[[#This Row],[Affected WTG]],'Basic Data'!$A:$A,'Basic Data'!$C:$C)</f>
        <v>MSEDCL</v>
      </c>
      <c r="J631" s="363">
        <f>IFERROR(VLOOKUP(Table6[[#This Row],[Affected WTG]],'Basic Data'!$A$3:$E$56,5,0),"")</f>
        <v>2.564102564102564E-2</v>
      </c>
      <c r="K631" s="121" t="s">
        <v>492</v>
      </c>
      <c r="L631" s="39" t="str">
        <f>IFERROR(VLOOKUP(Table6[[#This Row],[Error Code]],'Basic Data'!$T:$U,2,0),"")</f>
        <v>Manual Stop - Safety Related</v>
      </c>
      <c r="M631" s="364" t="s">
        <v>481</v>
      </c>
      <c r="O631" s="365">
        <v>0</v>
      </c>
      <c r="P631" s="365">
        <v>0.99930555555555556</v>
      </c>
      <c r="Q631" s="365">
        <v>0.99930555555555556</v>
      </c>
      <c r="R631" s="366">
        <f>IF(Table6[[#This Row],[Work Start TimeStamp]]="","",(Table6[[#This Row],[Work Start TimeStamp]]-Table6[[#This Row],[Fault Start TimeStamp]])*24)</f>
        <v>23.983333333333334</v>
      </c>
      <c r="S631" s="377">
        <f>(Table6[[#This Row],[Fault Clearance time]]-Table6[[#This Row],[Work Start TimeStamp]])*24</f>
        <v>0</v>
      </c>
      <c r="T631" s="378">
        <f>(Table6[[#This Row],[Fault Clearance time]]-Table6[[#This Row],[Fault Start TimeStamp]])*24</f>
        <v>23.983333333333334</v>
      </c>
      <c r="U631" s="364" t="s">
        <v>498</v>
      </c>
      <c r="V631" s="364" t="s">
        <v>473</v>
      </c>
      <c r="W631" s="354">
        <f>Table6[[#This Row],[Breakdown Time]]*(1/39)</f>
        <v>0.61495726495726499</v>
      </c>
      <c r="X631" s="352" t="s">
        <v>468</v>
      </c>
      <c r="Y631" s="364" t="s">
        <v>141</v>
      </c>
      <c r="Z631" s="121">
        <v>11859</v>
      </c>
      <c r="AA631" s="123">
        <v>11850.764583333334</v>
      </c>
      <c r="AB631" s="121" t="s">
        <v>478</v>
      </c>
    </row>
    <row r="632" spans="1:28">
      <c r="A632" s="121">
        <f t="shared" si="9"/>
        <v>631</v>
      </c>
      <c r="B632" s="123">
        <f>YEAR(Table6[[#This Row],[Date]])+IF(MONTH(Table6[[#This Row],[Date]])&gt;=4,1,0)</f>
        <v>2026</v>
      </c>
      <c r="C632" s="121">
        <f>YEAR(Table6[[#This Row],[Date]])</f>
        <v>2025</v>
      </c>
      <c r="D632" s="121" t="s">
        <v>490</v>
      </c>
      <c r="E632" s="135">
        <f>Table6[[#This Row],[Date]]-DAY(Table6[[#This Row],[Date]])+1</f>
        <v>45778</v>
      </c>
      <c r="F632" s="134">
        <v>45804</v>
      </c>
      <c r="G632" s="121" t="s">
        <v>115</v>
      </c>
      <c r="H632" s="39" t="str">
        <f>_xlfn.XLOOKUP(Table6[[#This Row],[Affected WTG]],'Basic Data'!$A:$A,'Basic Data'!$B:$B)</f>
        <v>PWEGPL</v>
      </c>
      <c r="I632" s="39" t="str">
        <f>_xlfn.XLOOKUP(Table6[[#This Row],[Affected WTG]],'Basic Data'!$A:$A,'Basic Data'!$C:$C)</f>
        <v>MSEDCL</v>
      </c>
      <c r="J632" s="363">
        <f>IFERROR(VLOOKUP(Table6[[#This Row],[Affected WTG]],'Basic Data'!$A$3:$E$56,5,0),"")</f>
        <v>2.564102564102564E-2</v>
      </c>
      <c r="K632" s="121">
        <v>5216</v>
      </c>
      <c r="L632" s="39" t="str">
        <f>IFERROR(VLOOKUP(Table6[[#This Row],[Error Code]],'Basic Data'!$T:$U,2,0),"")</f>
        <v>Grid Voltage Failure</v>
      </c>
      <c r="M632" s="364" t="s">
        <v>462</v>
      </c>
      <c r="O632" s="365">
        <v>0.82638888888888884</v>
      </c>
      <c r="P632" s="365">
        <v>0.82638888888888884</v>
      </c>
      <c r="Q632" s="365">
        <v>0.99930555555555556</v>
      </c>
      <c r="R632" s="366">
        <f>IF(Table6[[#This Row],[Work Start TimeStamp]]="","",(Table6[[#This Row],[Work Start TimeStamp]]-Table6[[#This Row],[Fault Start TimeStamp]])*24)</f>
        <v>0</v>
      </c>
      <c r="S632" s="377">
        <f>(Table6[[#This Row],[Fault Clearance time]]-Table6[[#This Row],[Work Start TimeStamp]])*24</f>
        <v>4.1500000000000012</v>
      </c>
      <c r="T632" s="378">
        <f>(Table6[[#This Row],[Fault Clearance time]]-Table6[[#This Row],[Fault Start TimeStamp]])*24</f>
        <v>4.1500000000000012</v>
      </c>
      <c r="U632" s="364" t="s">
        <v>1181</v>
      </c>
      <c r="V632" s="364" t="s">
        <v>463</v>
      </c>
      <c r="W632" s="354">
        <f>Table6[[#This Row],[Breakdown Time]]*(1/39)</f>
        <v>0.10641025641025643</v>
      </c>
      <c r="X632" s="352" t="s">
        <v>465</v>
      </c>
      <c r="Y632" s="364" t="s">
        <v>121</v>
      </c>
      <c r="Z632" s="121">
        <v>10615</v>
      </c>
      <c r="AA632" s="123">
        <v>1835.5104166666672</v>
      </c>
      <c r="AB632" s="121" t="s">
        <v>478</v>
      </c>
    </row>
    <row r="633" spans="1:28">
      <c r="A633" s="121">
        <f t="shared" si="9"/>
        <v>632</v>
      </c>
      <c r="B633" s="123">
        <f>YEAR(Table6[[#This Row],[Date]])+IF(MONTH(Table6[[#This Row],[Date]])&gt;=4,1,0)</f>
        <v>2026</v>
      </c>
      <c r="C633" s="121">
        <f>YEAR(Table6[[#This Row],[Date]])</f>
        <v>2025</v>
      </c>
      <c r="D633" s="121" t="s">
        <v>490</v>
      </c>
      <c r="E633" s="135">
        <f>Table6[[#This Row],[Date]]-DAY(Table6[[#This Row],[Date]])+1</f>
        <v>45778</v>
      </c>
      <c r="F633" s="134">
        <v>45804</v>
      </c>
      <c r="G633" s="121" t="s">
        <v>118</v>
      </c>
      <c r="H633" s="39" t="str">
        <f>_xlfn.XLOOKUP(Table6[[#This Row],[Affected WTG]],'Basic Data'!$A:$A,'Basic Data'!$B:$B)</f>
        <v>PWEGPL</v>
      </c>
      <c r="I633" s="39" t="str">
        <f>_xlfn.XLOOKUP(Table6[[#This Row],[Affected WTG]],'Basic Data'!$A:$A,'Basic Data'!$C:$C)</f>
        <v>MSEDCL</v>
      </c>
      <c r="J633" s="363">
        <f>IFERROR(VLOOKUP(Table6[[#This Row],[Affected WTG]],'Basic Data'!$A$3:$E$56,5,0),"")</f>
        <v>2.564102564102564E-2</v>
      </c>
      <c r="K633" s="121" t="s">
        <v>477</v>
      </c>
      <c r="L633" s="39" t="str">
        <f>IFERROR(VLOOKUP(Table6[[#This Row],[Error Code]],'Basic Data'!$T:$U,2,0),"")</f>
        <v>Manual Stop - Audit</v>
      </c>
      <c r="M633" s="364" t="s">
        <v>507</v>
      </c>
      <c r="O633" s="365">
        <v>0.5625</v>
      </c>
      <c r="P633" s="365">
        <v>0.5625</v>
      </c>
      <c r="Q633" s="365">
        <v>0.625</v>
      </c>
      <c r="R633" s="366">
        <f>IF(Table6[[#This Row],[Work Start TimeStamp]]="","",(Table6[[#This Row],[Work Start TimeStamp]]-Table6[[#This Row],[Fault Start TimeStamp]])*24)</f>
        <v>0</v>
      </c>
      <c r="S633" s="377">
        <f>(Table6[[#This Row],[Fault Clearance time]]-Table6[[#This Row],[Work Start TimeStamp]])*24</f>
        <v>1.5</v>
      </c>
      <c r="T633" s="378">
        <f>(Table6[[#This Row],[Fault Clearance time]]-Table6[[#This Row],[Fault Start TimeStamp]])*24</f>
        <v>1.5</v>
      </c>
      <c r="U633" s="364" t="s">
        <v>1180</v>
      </c>
      <c r="V633" s="364" t="s">
        <v>463</v>
      </c>
      <c r="W633" s="354">
        <f>Table6[[#This Row],[Breakdown Time]]*(1/39)</f>
        <v>3.8461538461538464E-2</v>
      </c>
      <c r="X633" s="352" t="s">
        <v>464</v>
      </c>
      <c r="Y633" s="364" t="s">
        <v>117</v>
      </c>
      <c r="Z633" s="121">
        <v>10623</v>
      </c>
      <c r="AA633" s="123">
        <v>663.9375</v>
      </c>
      <c r="AB633" s="121" t="s">
        <v>478</v>
      </c>
    </row>
    <row r="634" spans="1:28">
      <c r="A634" s="121">
        <f t="shared" si="9"/>
        <v>633</v>
      </c>
      <c r="B634" s="123">
        <f>YEAR(Table6[[#This Row],[Date]])+IF(MONTH(Table6[[#This Row],[Date]])&gt;=4,1,0)</f>
        <v>2026</v>
      </c>
      <c r="C634" s="121">
        <f>YEAR(Table6[[#This Row],[Date]])</f>
        <v>2025</v>
      </c>
      <c r="D634" s="121" t="s">
        <v>490</v>
      </c>
      <c r="E634" s="135">
        <f>Table6[[#This Row],[Date]]-DAY(Table6[[#This Row],[Date]])+1</f>
        <v>45778</v>
      </c>
      <c r="F634" s="134">
        <v>45804</v>
      </c>
      <c r="G634" s="121" t="s">
        <v>120</v>
      </c>
      <c r="H634" s="39" t="str">
        <f>_xlfn.XLOOKUP(Table6[[#This Row],[Affected WTG]],'Basic Data'!$A:$A,'Basic Data'!$B:$B)</f>
        <v>PWEGPL</v>
      </c>
      <c r="I634" s="39" t="str">
        <f>_xlfn.XLOOKUP(Table6[[#This Row],[Affected WTG]],'Basic Data'!$A:$A,'Basic Data'!$C:$C)</f>
        <v>MSEDCL</v>
      </c>
      <c r="J634" s="363">
        <f>IFERROR(VLOOKUP(Table6[[#This Row],[Affected WTG]],'Basic Data'!$A$3:$E$56,5,0),"")</f>
        <v>2.564102564102564E-2</v>
      </c>
      <c r="K634" s="121" t="s">
        <v>477</v>
      </c>
      <c r="L634" s="39" t="str">
        <f>IFERROR(VLOOKUP(Table6[[#This Row],[Error Code]],'Basic Data'!$T:$U,2,0),"")</f>
        <v>Manual Stop - Audit</v>
      </c>
      <c r="M634" s="364" t="s">
        <v>507</v>
      </c>
      <c r="O634" s="365">
        <v>0.46527777777777779</v>
      </c>
      <c r="P634" s="365">
        <v>0.46527777777777779</v>
      </c>
      <c r="Q634" s="365">
        <v>0.54166666666666663</v>
      </c>
      <c r="R634" s="366">
        <f>IF(Table6[[#This Row],[Work Start TimeStamp]]="","",(Table6[[#This Row],[Work Start TimeStamp]]-Table6[[#This Row],[Fault Start TimeStamp]])*24)</f>
        <v>0</v>
      </c>
      <c r="S634" s="377">
        <f>(Table6[[#This Row],[Fault Clearance time]]-Table6[[#This Row],[Work Start TimeStamp]])*24</f>
        <v>1.8333333333333321</v>
      </c>
      <c r="T634" s="378">
        <f>(Table6[[#This Row],[Fault Clearance time]]-Table6[[#This Row],[Fault Start TimeStamp]])*24</f>
        <v>1.8333333333333321</v>
      </c>
      <c r="U634" s="364" t="s">
        <v>1180</v>
      </c>
      <c r="V634" s="364" t="s">
        <v>463</v>
      </c>
      <c r="W634" s="354">
        <f>Table6[[#This Row],[Breakdown Time]]*(1/39)</f>
        <v>4.7008547008546973E-2</v>
      </c>
      <c r="X634" s="352" t="s">
        <v>464</v>
      </c>
      <c r="Y634" s="364" t="s">
        <v>117</v>
      </c>
      <c r="Z634" s="121">
        <v>10623</v>
      </c>
      <c r="AA634" s="123">
        <v>811.47916666666617</v>
      </c>
      <c r="AB634" s="121" t="s">
        <v>478</v>
      </c>
    </row>
    <row r="635" spans="1:28">
      <c r="A635" s="121">
        <f t="shared" si="9"/>
        <v>634</v>
      </c>
      <c r="B635" s="123">
        <f>YEAR(Table6[[#This Row],[Date]])+IF(MONTH(Table6[[#This Row],[Date]])&gt;=4,1,0)</f>
        <v>2026</v>
      </c>
      <c r="C635" s="121">
        <f>YEAR(Table6[[#This Row],[Date]])</f>
        <v>2025</v>
      </c>
      <c r="D635" s="121" t="s">
        <v>490</v>
      </c>
      <c r="E635" s="135">
        <f>Table6[[#This Row],[Date]]-DAY(Table6[[#This Row],[Date]])+1</f>
        <v>45778</v>
      </c>
      <c r="F635" s="134">
        <v>45804</v>
      </c>
      <c r="G635" s="121" t="s">
        <v>134</v>
      </c>
      <c r="H635" s="39" t="str">
        <f>_xlfn.XLOOKUP(Table6[[#This Row],[Affected WTG]],'Basic Data'!$A:$A,'Basic Data'!$B:$B)</f>
        <v>PWEGPL</v>
      </c>
      <c r="I635" s="39" t="str">
        <f>_xlfn.XLOOKUP(Table6[[#This Row],[Affected WTG]],'Basic Data'!$A:$A,'Basic Data'!$C:$C)</f>
        <v>MSEDCL</v>
      </c>
      <c r="J635" s="363">
        <f>IFERROR(VLOOKUP(Table6[[#This Row],[Affected WTG]],'Basic Data'!$A$3:$E$56,5,0),"")</f>
        <v>2.564102564102564E-2</v>
      </c>
      <c r="K635" s="121" t="s">
        <v>476</v>
      </c>
      <c r="L635" s="39" t="str">
        <f>IFERROR(VLOOKUP(Table6[[#This Row],[Error Code]],'Basic Data'!$T:$U,2,0),"")</f>
        <v>Manual Stop - Preventive Maintenance Activity</v>
      </c>
      <c r="M635" s="364" t="s">
        <v>474</v>
      </c>
      <c r="O635" s="365">
        <v>0.48541666666666666</v>
      </c>
      <c r="P635" s="365">
        <v>0.48541666666666666</v>
      </c>
      <c r="Q635" s="365">
        <v>0.77500000000000002</v>
      </c>
      <c r="R635" s="366">
        <f>IF(Table6[[#This Row],[Work Start TimeStamp]]="","",(Table6[[#This Row],[Work Start TimeStamp]]-Table6[[#This Row],[Fault Start TimeStamp]])*24)</f>
        <v>0</v>
      </c>
      <c r="S635" s="367">
        <f>(Table6[[#This Row],[Fault Clearance time]]-Table6[[#This Row],[Work Start TimeStamp]])*24</f>
        <v>6.9500000000000011</v>
      </c>
      <c r="T635" s="368">
        <f>(Table6[[#This Row],[Fault Clearance time]]-Table6[[#This Row],[Fault Start TimeStamp]])*24</f>
        <v>6.9500000000000011</v>
      </c>
      <c r="U635" s="364" t="s">
        <v>582</v>
      </c>
      <c r="V635" s="364" t="s">
        <v>463</v>
      </c>
      <c r="W635" s="354">
        <f>Table6[[#This Row],[Breakdown Time]]*(1/39)</f>
        <v>0.17820512820512824</v>
      </c>
      <c r="X635" s="352" t="s">
        <v>467</v>
      </c>
      <c r="Y635" s="364" t="s">
        <v>133</v>
      </c>
      <c r="Z635" s="121">
        <v>14782</v>
      </c>
      <c r="AA635" s="123">
        <v>4280.6208333333334</v>
      </c>
      <c r="AB635" s="121" t="s">
        <v>478</v>
      </c>
    </row>
    <row r="636" spans="1:28">
      <c r="A636" s="121">
        <f t="shared" si="9"/>
        <v>635</v>
      </c>
      <c r="B636" s="123">
        <f>YEAR(Table6[[#This Row],[Date]])+IF(MONTH(Table6[[#This Row],[Date]])&gt;=4,1,0)</f>
        <v>2026</v>
      </c>
      <c r="C636" s="121">
        <f>YEAR(Table6[[#This Row],[Date]])</f>
        <v>2025</v>
      </c>
      <c r="D636" s="121" t="s">
        <v>490</v>
      </c>
      <c r="E636" s="135">
        <f>Table6[[#This Row],[Date]]-DAY(Table6[[#This Row],[Date]])+1</f>
        <v>45778</v>
      </c>
      <c r="F636" s="134">
        <v>45804</v>
      </c>
      <c r="G636" s="121" t="s">
        <v>138</v>
      </c>
      <c r="H636" s="39" t="str">
        <f>_xlfn.XLOOKUP(Table6[[#This Row],[Affected WTG]],'Basic Data'!$A:$A,'Basic Data'!$B:$B)</f>
        <v>PWEGPL</v>
      </c>
      <c r="I636" s="39" t="str">
        <f>_xlfn.XLOOKUP(Table6[[#This Row],[Affected WTG]],'Basic Data'!$A:$A,'Basic Data'!$C:$C)</f>
        <v>MSEDCL</v>
      </c>
      <c r="J636" s="363">
        <f>IFERROR(VLOOKUP(Table6[[#This Row],[Affected WTG]],'Basic Data'!$A$3:$E$56,5,0),"")</f>
        <v>2.564102564102564E-2</v>
      </c>
      <c r="K636" s="121">
        <v>5203</v>
      </c>
      <c r="L636" s="39" t="str">
        <f>IFERROR(VLOOKUP(Table6[[#This Row],[Error Code]],'Basic Data'!$T:$U,2,0),"")</f>
        <v>Heating/Coolant Thermal Magnetic Failure</v>
      </c>
      <c r="M636" s="364" t="s">
        <v>462</v>
      </c>
      <c r="O636" s="365">
        <v>0</v>
      </c>
      <c r="P636" s="365">
        <v>0</v>
      </c>
      <c r="Q636" s="365">
        <v>5.4166666666666669E-2</v>
      </c>
      <c r="R636" s="366">
        <f>IF(Table6[[#This Row],[Work Start TimeStamp]]="","",(Table6[[#This Row],[Work Start TimeStamp]]-Table6[[#This Row],[Fault Start TimeStamp]])*24)</f>
        <v>0</v>
      </c>
      <c r="S636" s="377">
        <f>(Table6[[#This Row],[Fault Clearance time]]-Table6[[#This Row],[Work Start TimeStamp]])*24</f>
        <v>1.3</v>
      </c>
      <c r="T636" s="378">
        <f>(Table6[[#This Row],[Fault Clearance time]]-Table6[[#This Row],[Fault Start TimeStamp]])*24</f>
        <v>1.3</v>
      </c>
      <c r="U636" s="364" t="s">
        <v>525</v>
      </c>
      <c r="V636" s="364" t="s">
        <v>463</v>
      </c>
      <c r="W636" s="354">
        <f>Table6[[#This Row],[Breakdown Time]]*(1/39)</f>
        <v>3.3333333333333333E-2</v>
      </c>
      <c r="X636" s="352" t="s">
        <v>465</v>
      </c>
      <c r="Y636" s="364" t="s">
        <v>140</v>
      </c>
      <c r="Z636" s="121">
        <v>11852</v>
      </c>
      <c r="AA636" s="123">
        <v>641.98333333333335</v>
      </c>
      <c r="AB636" s="121" t="s">
        <v>478</v>
      </c>
    </row>
    <row r="637" spans="1:28">
      <c r="A637" s="121">
        <f t="shared" si="9"/>
        <v>636</v>
      </c>
      <c r="B637" s="123">
        <f>YEAR(Table6[[#This Row],[Date]])+IF(MONTH(Table6[[#This Row],[Date]])&gt;=4,1,0)</f>
        <v>2026</v>
      </c>
      <c r="C637" s="121">
        <f>YEAR(Table6[[#This Row],[Date]])</f>
        <v>2025</v>
      </c>
      <c r="D637" s="121" t="s">
        <v>490</v>
      </c>
      <c r="E637" s="135">
        <f>Table6[[#This Row],[Date]]-DAY(Table6[[#This Row],[Date]])+1</f>
        <v>45778</v>
      </c>
      <c r="F637" s="134">
        <v>45804</v>
      </c>
      <c r="G637" s="121" t="s">
        <v>143</v>
      </c>
      <c r="H637" s="39" t="str">
        <f>_xlfn.XLOOKUP(Table6[[#This Row],[Affected WTG]],'Basic Data'!$A:$A,'Basic Data'!$B:$B)</f>
        <v>PWEGPL</v>
      </c>
      <c r="I637" s="39" t="str">
        <f>_xlfn.XLOOKUP(Table6[[#This Row],[Affected WTG]],'Basic Data'!$A:$A,'Basic Data'!$C:$C)</f>
        <v>MSEDCL</v>
      </c>
      <c r="J637" s="363">
        <f>IFERROR(VLOOKUP(Table6[[#This Row],[Affected WTG]],'Basic Data'!$A$3:$E$56,5,0),"")</f>
        <v>2.564102564102564E-2</v>
      </c>
      <c r="K637" s="121" t="s">
        <v>477</v>
      </c>
      <c r="L637" s="39" t="str">
        <f>IFERROR(VLOOKUP(Table6[[#This Row],[Error Code]],'Basic Data'!$T:$U,2,0),"")</f>
        <v>Manual Stop - Audit</v>
      </c>
      <c r="M637" s="364" t="s">
        <v>507</v>
      </c>
      <c r="O637" s="365">
        <v>0.47222222222222221</v>
      </c>
      <c r="P637" s="365">
        <v>0.47222222222222221</v>
      </c>
      <c r="Q637" s="365">
        <v>0.52777777777777779</v>
      </c>
      <c r="R637" s="366">
        <f>IF(Table6[[#This Row],[Work Start TimeStamp]]="","",(Table6[[#This Row],[Work Start TimeStamp]]-Table6[[#This Row],[Fault Start TimeStamp]])*24)</f>
        <v>0</v>
      </c>
      <c r="S637" s="377">
        <f>(Table6[[#This Row],[Fault Clearance time]]-Table6[[#This Row],[Work Start TimeStamp]])*24</f>
        <v>1.3333333333333339</v>
      </c>
      <c r="T637" s="378">
        <f>(Table6[[#This Row],[Fault Clearance time]]-Table6[[#This Row],[Fault Start TimeStamp]])*24</f>
        <v>1.3333333333333339</v>
      </c>
      <c r="U637" s="364" t="s">
        <v>1180</v>
      </c>
      <c r="V637" s="364" t="s">
        <v>463</v>
      </c>
      <c r="W637" s="354">
        <f>Table6[[#This Row],[Breakdown Time]]*(1/39)</f>
        <v>3.4188034188034205E-2</v>
      </c>
      <c r="X637" s="352" t="s">
        <v>464</v>
      </c>
      <c r="Y637" s="364" t="s">
        <v>141</v>
      </c>
      <c r="Z637" s="121">
        <v>11859</v>
      </c>
      <c r="AA637" s="123">
        <v>658.8333333333336</v>
      </c>
      <c r="AB637" s="121" t="s">
        <v>478</v>
      </c>
    </row>
    <row r="638" spans="1:28">
      <c r="A638" s="121">
        <f t="shared" si="9"/>
        <v>637</v>
      </c>
      <c r="B638" s="123">
        <f>YEAR(Table6[[#This Row],[Date]])+IF(MONTH(Table6[[#This Row],[Date]])&gt;=4,1,0)</f>
        <v>2026</v>
      </c>
      <c r="C638" s="121">
        <f>YEAR(Table6[[#This Row],[Date]])</f>
        <v>2025</v>
      </c>
      <c r="D638" s="121" t="s">
        <v>490</v>
      </c>
      <c r="E638" s="135">
        <f>Table6[[#This Row],[Date]]-DAY(Table6[[#This Row],[Date]])+1</f>
        <v>45778</v>
      </c>
      <c r="F638" s="134">
        <v>45804</v>
      </c>
      <c r="G638" s="121" t="s">
        <v>146</v>
      </c>
      <c r="H638" s="39" t="str">
        <f>_xlfn.XLOOKUP(Table6[[#This Row],[Affected WTG]],'Basic Data'!$A:$A,'Basic Data'!$B:$B)</f>
        <v>PWEGPL</v>
      </c>
      <c r="I638" s="39" t="str">
        <f>_xlfn.XLOOKUP(Table6[[#This Row],[Affected WTG]],'Basic Data'!$A:$A,'Basic Data'!$C:$C)</f>
        <v>MSEDCL</v>
      </c>
      <c r="J638" s="363">
        <f>IFERROR(VLOOKUP(Table6[[#This Row],[Affected WTG]],'Basic Data'!$A$3:$E$56,5,0),"")</f>
        <v>2.564102564102564E-2</v>
      </c>
      <c r="K638" s="121" t="s">
        <v>477</v>
      </c>
      <c r="L638" s="39" t="str">
        <f>IFERROR(VLOOKUP(Table6[[#This Row],[Error Code]],'Basic Data'!$T:$U,2,0),"")</f>
        <v>Manual Stop - Audit</v>
      </c>
      <c r="M638" s="364" t="s">
        <v>507</v>
      </c>
      <c r="O638" s="365">
        <v>0.54861111111111116</v>
      </c>
      <c r="P638" s="365">
        <v>0.54861111111111116</v>
      </c>
      <c r="Q638" s="365">
        <v>0.59722222222222221</v>
      </c>
      <c r="R638" s="366">
        <f>IF(Table6[[#This Row],[Work Start TimeStamp]]="","",(Table6[[#This Row],[Work Start TimeStamp]]-Table6[[#This Row],[Fault Start TimeStamp]])*24)</f>
        <v>0</v>
      </c>
      <c r="S638" s="377">
        <f>(Table6[[#This Row],[Fault Clearance time]]-Table6[[#This Row],[Work Start TimeStamp]])*24</f>
        <v>1.1666666666666652</v>
      </c>
      <c r="T638" s="378">
        <f>(Table6[[#This Row],[Fault Clearance time]]-Table6[[#This Row],[Fault Start TimeStamp]])*24</f>
        <v>1.1666666666666652</v>
      </c>
      <c r="U638" s="364" t="s">
        <v>1180</v>
      </c>
      <c r="V638" s="364" t="s">
        <v>463</v>
      </c>
      <c r="W638" s="354">
        <f>Table6[[#This Row],[Breakdown Time]]*(1/39)</f>
        <v>2.9914529914529874E-2</v>
      </c>
      <c r="X638" s="352" t="s">
        <v>464</v>
      </c>
      <c r="Y638" s="364" t="s">
        <v>147</v>
      </c>
      <c r="Z638" s="121">
        <v>10421</v>
      </c>
      <c r="AA638" s="123">
        <v>506.57638888888823</v>
      </c>
      <c r="AB638" s="121" t="s">
        <v>478</v>
      </c>
    </row>
    <row r="639" spans="1:28">
      <c r="A639" s="121">
        <f t="shared" si="9"/>
        <v>638</v>
      </c>
      <c r="B639" s="123">
        <f>YEAR(Table6[[#This Row],[Date]])+IF(MONTH(Table6[[#This Row],[Date]])&gt;=4,1,0)</f>
        <v>2026</v>
      </c>
      <c r="C639" s="121">
        <f>YEAR(Table6[[#This Row],[Date]])</f>
        <v>2025</v>
      </c>
      <c r="D639" s="121" t="s">
        <v>490</v>
      </c>
      <c r="E639" s="135">
        <f>Table6[[#This Row],[Date]]-DAY(Table6[[#This Row],[Date]])+1</f>
        <v>45778</v>
      </c>
      <c r="F639" s="134">
        <v>45805</v>
      </c>
      <c r="G639" s="121" t="s">
        <v>144</v>
      </c>
      <c r="H639" s="39" t="str">
        <f>_xlfn.XLOOKUP(Table6[[#This Row],[Affected WTG]],'Basic Data'!$A:$A,'Basic Data'!$B:$B)</f>
        <v>PWEGPL</v>
      </c>
      <c r="I639" s="39" t="str">
        <f>_xlfn.XLOOKUP(Table6[[#This Row],[Affected WTG]],'Basic Data'!$A:$A,'Basic Data'!$C:$C)</f>
        <v>MSEDCL</v>
      </c>
      <c r="J639" s="363">
        <f>IFERROR(VLOOKUP(Table6[[#This Row],[Affected WTG]],'Basic Data'!$A$3:$E$56,5,0),"")</f>
        <v>2.564102564102564E-2</v>
      </c>
      <c r="K639" s="121" t="s">
        <v>492</v>
      </c>
      <c r="L639" s="39" t="str">
        <f>IFERROR(VLOOKUP(Table6[[#This Row],[Error Code]],'Basic Data'!$T:$U,2,0),"")</f>
        <v>Manual Stop - Safety Related</v>
      </c>
      <c r="M639" s="364" t="s">
        <v>481</v>
      </c>
      <c r="O639" s="365">
        <v>0</v>
      </c>
      <c r="P639" s="365">
        <v>0.99930555555555556</v>
      </c>
      <c r="Q639" s="365">
        <v>0.99930555555555556</v>
      </c>
      <c r="R639" s="366">
        <f>IF(Table6[[#This Row],[Work Start TimeStamp]]="","",(Table6[[#This Row],[Work Start TimeStamp]]-Table6[[#This Row],[Fault Start TimeStamp]])*24)</f>
        <v>23.983333333333334</v>
      </c>
      <c r="S639" s="377">
        <f>(Table6[[#This Row],[Fault Clearance time]]-Table6[[#This Row],[Work Start TimeStamp]])*24</f>
        <v>0</v>
      </c>
      <c r="T639" s="378">
        <f>(Table6[[#This Row],[Fault Clearance time]]-Table6[[#This Row],[Fault Start TimeStamp]])*24</f>
        <v>23.983333333333334</v>
      </c>
      <c r="U639" s="364" t="s">
        <v>498</v>
      </c>
      <c r="V639" s="364" t="s">
        <v>473</v>
      </c>
      <c r="W639" s="354">
        <f>Table6[[#This Row],[Breakdown Time]]*(1/39)</f>
        <v>0.61495726495726499</v>
      </c>
      <c r="X639" s="352" t="s">
        <v>468</v>
      </c>
      <c r="Y639" s="364" t="s">
        <v>141</v>
      </c>
      <c r="Z639" s="121">
        <v>9969</v>
      </c>
      <c r="AA639" s="123">
        <v>9962.0770833333336</v>
      </c>
      <c r="AB639" s="121" t="s">
        <v>478</v>
      </c>
    </row>
    <row r="640" spans="1:28">
      <c r="A640" s="121">
        <f t="shared" si="9"/>
        <v>639</v>
      </c>
      <c r="B640" s="123">
        <f>YEAR(Table6[[#This Row],[Date]])+IF(MONTH(Table6[[#This Row],[Date]])&gt;=4,1,0)</f>
        <v>2026</v>
      </c>
      <c r="C640" s="121">
        <f>YEAR(Table6[[#This Row],[Date]])</f>
        <v>2025</v>
      </c>
      <c r="D640" s="121" t="s">
        <v>490</v>
      </c>
      <c r="E640" s="135">
        <f>Table6[[#This Row],[Date]]-DAY(Table6[[#This Row],[Date]])+1</f>
        <v>45778</v>
      </c>
      <c r="F640" s="134">
        <v>45805</v>
      </c>
      <c r="G640" s="121" t="s">
        <v>142</v>
      </c>
      <c r="H640" s="39" t="str">
        <f>_xlfn.XLOOKUP(Table6[[#This Row],[Affected WTG]],'Basic Data'!$A:$A,'Basic Data'!$B:$B)</f>
        <v>PWEGPL</v>
      </c>
      <c r="I640" s="39" t="str">
        <f>_xlfn.XLOOKUP(Table6[[#This Row],[Affected WTG]],'Basic Data'!$A:$A,'Basic Data'!$C:$C)</f>
        <v>MSEDCL</v>
      </c>
      <c r="J640" s="363">
        <f>IFERROR(VLOOKUP(Table6[[#This Row],[Affected WTG]],'Basic Data'!$A$3:$E$56,5,0),"")</f>
        <v>2.564102564102564E-2</v>
      </c>
      <c r="K640" s="121" t="s">
        <v>492</v>
      </c>
      <c r="L640" s="39" t="str">
        <f>IFERROR(VLOOKUP(Table6[[#This Row],[Error Code]],'Basic Data'!$T:$U,2,0),"")</f>
        <v>Manual Stop - Safety Related</v>
      </c>
      <c r="M640" s="364" t="s">
        <v>481</v>
      </c>
      <c r="O640" s="365">
        <v>0</v>
      </c>
      <c r="P640" s="365">
        <v>0.99930555555555556</v>
      </c>
      <c r="Q640" s="365">
        <v>0.99930555555555556</v>
      </c>
      <c r="R640" s="366">
        <f>IF(Table6[[#This Row],[Work Start TimeStamp]]="","",(Table6[[#This Row],[Work Start TimeStamp]]-Table6[[#This Row],[Fault Start TimeStamp]])*24)</f>
        <v>23.983333333333334</v>
      </c>
      <c r="S640" s="377">
        <f>(Table6[[#This Row],[Fault Clearance time]]-Table6[[#This Row],[Work Start TimeStamp]])*24</f>
        <v>0</v>
      </c>
      <c r="T640" s="378">
        <f>(Table6[[#This Row],[Fault Clearance time]]-Table6[[#This Row],[Fault Start TimeStamp]])*24</f>
        <v>23.983333333333334</v>
      </c>
      <c r="U640" s="364" t="s">
        <v>498</v>
      </c>
      <c r="V640" s="364" t="s">
        <v>473</v>
      </c>
      <c r="W640" s="354">
        <f>Table6[[#This Row],[Breakdown Time]]*(1/39)</f>
        <v>0.61495726495726499</v>
      </c>
      <c r="X640" s="352" t="s">
        <v>468</v>
      </c>
      <c r="Y640" s="364" t="s">
        <v>141</v>
      </c>
      <c r="Z640" s="121">
        <v>9969</v>
      </c>
      <c r="AA640" s="123">
        <v>9962.0770833333336</v>
      </c>
      <c r="AB640" s="121" t="s">
        <v>478</v>
      </c>
    </row>
    <row r="641" spans="1:28">
      <c r="A641" s="121">
        <f t="shared" si="9"/>
        <v>640</v>
      </c>
      <c r="B641" s="123">
        <f>YEAR(Table6[[#This Row],[Date]])+IF(MONTH(Table6[[#This Row],[Date]])&gt;=4,1,0)</f>
        <v>2026</v>
      </c>
      <c r="C641" s="121">
        <f>YEAR(Table6[[#This Row],[Date]])</f>
        <v>2025</v>
      </c>
      <c r="D641" s="121" t="s">
        <v>490</v>
      </c>
      <c r="E641" s="135">
        <f>Table6[[#This Row],[Date]]-DAY(Table6[[#This Row],[Date]])+1</f>
        <v>45778</v>
      </c>
      <c r="F641" s="134">
        <v>45805</v>
      </c>
      <c r="G641" s="121" t="s">
        <v>115</v>
      </c>
      <c r="H641" s="39" t="str">
        <f>_xlfn.XLOOKUP(Table6[[#This Row],[Affected WTG]],'Basic Data'!$A:$A,'Basic Data'!$B:$B)</f>
        <v>PWEGPL</v>
      </c>
      <c r="I641" s="39" t="str">
        <f>_xlfn.XLOOKUP(Table6[[#This Row],[Affected WTG]],'Basic Data'!$A:$A,'Basic Data'!$C:$C)</f>
        <v>MSEDCL</v>
      </c>
      <c r="J641" s="363">
        <f>IFERROR(VLOOKUP(Table6[[#This Row],[Affected WTG]],'Basic Data'!$A$3:$E$56,5,0),"")</f>
        <v>2.564102564102564E-2</v>
      </c>
      <c r="K641" s="121">
        <v>5216</v>
      </c>
      <c r="L641" s="39" t="str">
        <f>IFERROR(VLOOKUP(Table6[[#This Row],[Error Code]],'Basic Data'!$T:$U,2,0),"")</f>
        <v>Grid Voltage Failure</v>
      </c>
      <c r="M641" s="364" t="s">
        <v>462</v>
      </c>
      <c r="O641" s="365">
        <v>0</v>
      </c>
      <c r="P641" s="365">
        <v>0</v>
      </c>
      <c r="Q641" s="365">
        <v>0.67361111111111116</v>
      </c>
      <c r="R641" s="366">
        <f>IF(Table6[[#This Row],[Work Start TimeStamp]]="","",(Table6[[#This Row],[Work Start TimeStamp]]-Table6[[#This Row],[Fault Start TimeStamp]])*24)</f>
        <v>0</v>
      </c>
      <c r="S641" s="377">
        <f>(Table6[[#This Row],[Fault Clearance time]]-Table6[[#This Row],[Work Start TimeStamp]])*24</f>
        <v>16.166666666666668</v>
      </c>
      <c r="T641" s="378">
        <f>(Table6[[#This Row],[Fault Clearance time]]-Table6[[#This Row],[Fault Start TimeStamp]])*24</f>
        <v>16.166666666666668</v>
      </c>
      <c r="U641" s="364" t="s">
        <v>1183</v>
      </c>
      <c r="V641" s="364" t="s">
        <v>463</v>
      </c>
      <c r="W641" s="354">
        <f>Table6[[#This Row],[Breakdown Time]]*(1/39)</f>
        <v>0.41452991452991456</v>
      </c>
      <c r="X641" s="352" t="s">
        <v>465</v>
      </c>
      <c r="Y641" s="364" t="s">
        <v>121</v>
      </c>
      <c r="Z641" s="121">
        <v>15953</v>
      </c>
      <c r="AA641" s="123">
        <v>10746.118055555557</v>
      </c>
      <c r="AB641" s="121" t="s">
        <v>478</v>
      </c>
    </row>
    <row r="642" spans="1:28">
      <c r="A642" s="121">
        <f t="shared" si="9"/>
        <v>641</v>
      </c>
      <c r="B642" s="123">
        <f>YEAR(Table6[[#This Row],[Date]])+IF(MONTH(Table6[[#This Row],[Date]])&gt;=4,1,0)</f>
        <v>2026</v>
      </c>
      <c r="C642" s="121">
        <f>YEAR(Table6[[#This Row],[Date]])</f>
        <v>2025</v>
      </c>
      <c r="D642" s="121" t="s">
        <v>490</v>
      </c>
      <c r="E642" s="135">
        <f>Table6[[#This Row],[Date]]-DAY(Table6[[#This Row],[Date]])+1</f>
        <v>45778</v>
      </c>
      <c r="F642" s="134">
        <v>45805</v>
      </c>
      <c r="G642" s="121" t="s">
        <v>121</v>
      </c>
      <c r="H642" s="39" t="str">
        <f>_xlfn.XLOOKUP(Table6[[#This Row],[Affected WTG]],'Basic Data'!$A:$A,'Basic Data'!$B:$B)</f>
        <v>PWEGPL</v>
      </c>
      <c r="I642" s="39" t="str">
        <f>_xlfn.XLOOKUP(Table6[[#This Row],[Affected WTG]],'Basic Data'!$A:$A,'Basic Data'!$C:$C)</f>
        <v>MSEDCL</v>
      </c>
      <c r="J642" s="363">
        <f>IFERROR(VLOOKUP(Table6[[#This Row],[Affected WTG]],'Basic Data'!$A$3:$E$56,5,0),"")</f>
        <v>2.564102564102564E-2</v>
      </c>
      <c r="K642" s="121">
        <v>5225</v>
      </c>
      <c r="L642" s="39" t="str">
        <f>IFERROR(VLOOKUP(Table6[[#This Row],[Error Code]],'Basic Data'!$T:$U,2,0),"")</f>
        <v>Fault In Analog Electronic Power Supply</v>
      </c>
      <c r="M642" s="364" t="s">
        <v>462</v>
      </c>
      <c r="O642" s="365">
        <v>5.4166666666666669E-2</v>
      </c>
      <c r="P642" s="365">
        <v>7.4999999999999997E-2</v>
      </c>
      <c r="Q642" s="365">
        <v>7.6388888888888895E-2</v>
      </c>
      <c r="R642" s="366">
        <f>IF(Table6[[#This Row],[Work Start TimeStamp]]="","",(Table6[[#This Row],[Work Start TimeStamp]]-Table6[[#This Row],[Fault Start TimeStamp]])*24)</f>
        <v>0.49999999999999989</v>
      </c>
      <c r="S642" s="377">
        <f>(Table6[[#This Row],[Fault Clearance time]]-Table6[[#This Row],[Work Start TimeStamp]])*24</f>
        <v>3.3333333333333548E-2</v>
      </c>
      <c r="T642" s="378">
        <f>(Table6[[#This Row],[Fault Clearance time]]-Table6[[#This Row],[Fault Start TimeStamp]])*24</f>
        <v>0.53333333333333344</v>
      </c>
      <c r="U642" s="364" t="s">
        <v>493</v>
      </c>
      <c r="V642" s="364" t="s">
        <v>463</v>
      </c>
      <c r="W642" s="354">
        <f>Table6[[#This Row],[Breakdown Time]]*(1/39)</f>
        <v>1.3675213675213677E-2</v>
      </c>
      <c r="X642" s="352" t="s">
        <v>465</v>
      </c>
      <c r="Y642" s="364" t="s">
        <v>117</v>
      </c>
      <c r="Z642" s="121">
        <v>16385</v>
      </c>
      <c r="AA642" s="123">
        <v>364.1111111111112</v>
      </c>
      <c r="AB642" s="121" t="s">
        <v>478</v>
      </c>
    </row>
    <row r="643" spans="1:28">
      <c r="A643" s="121">
        <f t="shared" si="9"/>
        <v>642</v>
      </c>
      <c r="B643" s="123">
        <f>YEAR(Table6[[#This Row],[Date]])+IF(MONTH(Table6[[#This Row],[Date]])&gt;=4,1,0)</f>
        <v>2026</v>
      </c>
      <c r="C643" s="121">
        <f>YEAR(Table6[[#This Row],[Date]])</f>
        <v>2025</v>
      </c>
      <c r="D643" s="121" t="s">
        <v>490</v>
      </c>
      <c r="E643" s="135">
        <f>Table6[[#This Row],[Date]]-DAY(Table6[[#This Row],[Date]])+1</f>
        <v>45778</v>
      </c>
      <c r="F643" s="134">
        <v>45805</v>
      </c>
      <c r="G643" s="121" t="s">
        <v>128</v>
      </c>
      <c r="H643" s="39" t="str">
        <f>_xlfn.XLOOKUP(Table6[[#This Row],[Affected WTG]],'Basic Data'!$A:$A,'Basic Data'!$B:$B)</f>
        <v>PWEGPL</v>
      </c>
      <c r="I643" s="39" t="str">
        <f>_xlfn.XLOOKUP(Table6[[#This Row],[Affected WTG]],'Basic Data'!$A:$A,'Basic Data'!$C:$C)</f>
        <v>MSEDCL</v>
      </c>
      <c r="J643" s="363">
        <f>IFERROR(VLOOKUP(Table6[[#This Row],[Affected WTG]],'Basic Data'!$A$3:$E$56,5,0),"")</f>
        <v>2.564102564102564E-2</v>
      </c>
      <c r="K643" s="121" t="s">
        <v>476</v>
      </c>
      <c r="L643" s="39" t="str">
        <f>IFERROR(VLOOKUP(Table6[[#This Row],[Error Code]],'Basic Data'!$T:$U,2,0),"")</f>
        <v>Manual Stop - Preventive Maintenance Activity</v>
      </c>
      <c r="M643" s="364" t="s">
        <v>474</v>
      </c>
      <c r="O643" s="365">
        <v>0.42708333333333331</v>
      </c>
      <c r="P643" s="365">
        <v>0.42708333333333331</v>
      </c>
      <c r="Q643" s="365">
        <v>0.73333333333333328</v>
      </c>
      <c r="R643" s="366">
        <f>IF(Table6[[#This Row],[Work Start TimeStamp]]="","",(Table6[[#This Row],[Work Start TimeStamp]]-Table6[[#This Row],[Fault Start TimeStamp]])*24)</f>
        <v>0</v>
      </c>
      <c r="S643" s="367">
        <f>(Table6[[#This Row],[Fault Clearance time]]-Table6[[#This Row],[Work Start TimeStamp]])*24</f>
        <v>7.35</v>
      </c>
      <c r="T643" s="368">
        <f>(Table6[[#This Row],[Fault Clearance time]]-Table6[[#This Row],[Fault Start TimeStamp]])*24</f>
        <v>7.35</v>
      </c>
      <c r="U643" s="364" t="s">
        <v>582</v>
      </c>
      <c r="V643" s="364" t="s">
        <v>463</v>
      </c>
      <c r="W643" s="354">
        <f>Table6[[#This Row],[Breakdown Time]]*(1/39)</f>
        <v>0.18846153846153846</v>
      </c>
      <c r="X643" s="352" t="s">
        <v>467</v>
      </c>
      <c r="Y643" s="364" t="s">
        <v>129</v>
      </c>
      <c r="Z643" s="121">
        <v>13759</v>
      </c>
      <c r="AA643" s="123">
        <v>4213.6937499999995</v>
      </c>
      <c r="AB643" s="121" t="s">
        <v>478</v>
      </c>
    </row>
    <row r="644" spans="1:28">
      <c r="A644" s="121">
        <f t="shared" ref="A644:A707" si="10">A643+1</f>
        <v>643</v>
      </c>
      <c r="B644" s="123">
        <f>YEAR(Table6[[#This Row],[Date]])+IF(MONTH(Table6[[#This Row],[Date]])&gt;=4,1,0)</f>
        <v>2026</v>
      </c>
      <c r="C644" s="121">
        <f>YEAR(Table6[[#This Row],[Date]])</f>
        <v>2025</v>
      </c>
      <c r="D644" s="121" t="s">
        <v>490</v>
      </c>
      <c r="E644" s="135">
        <f>Table6[[#This Row],[Date]]-DAY(Table6[[#This Row],[Date]])+1</f>
        <v>45778</v>
      </c>
      <c r="F644" s="134">
        <v>45805</v>
      </c>
      <c r="G644" s="121" t="s">
        <v>130</v>
      </c>
      <c r="H644" s="39" t="str">
        <f>_xlfn.XLOOKUP(Table6[[#This Row],[Affected WTG]],'Basic Data'!$A:$A,'Basic Data'!$B:$B)</f>
        <v>PWEGPL</v>
      </c>
      <c r="I644" s="39" t="str">
        <f>_xlfn.XLOOKUP(Table6[[#This Row],[Affected WTG]],'Basic Data'!$A:$A,'Basic Data'!$C:$C)</f>
        <v>MSEDCL</v>
      </c>
      <c r="J644" s="363">
        <f>IFERROR(VLOOKUP(Table6[[#This Row],[Affected WTG]],'Basic Data'!$A$3:$E$56,5,0),"")</f>
        <v>2.564102564102564E-2</v>
      </c>
      <c r="K644" s="121">
        <v>5225</v>
      </c>
      <c r="L644" s="39" t="str">
        <f>IFERROR(VLOOKUP(Table6[[#This Row],[Error Code]],'Basic Data'!$T:$U,2,0),"")</f>
        <v>Fault In Analog Electronic Power Supply</v>
      </c>
      <c r="M644" s="364" t="s">
        <v>462</v>
      </c>
      <c r="O644" s="365">
        <v>0.46111111111111114</v>
      </c>
      <c r="P644" s="365">
        <v>0.4826388888888889</v>
      </c>
      <c r="Q644" s="365">
        <v>0.48958333333333331</v>
      </c>
      <c r="R644" s="366">
        <f>IF(Table6[[#This Row],[Work Start TimeStamp]]="","",(Table6[[#This Row],[Work Start TimeStamp]]-Table6[[#This Row],[Fault Start TimeStamp]])*24)</f>
        <v>0.51666666666666616</v>
      </c>
      <c r="S644" s="377">
        <f>(Table6[[#This Row],[Fault Clearance time]]-Table6[[#This Row],[Work Start TimeStamp]])*24</f>
        <v>0.16666666666666607</v>
      </c>
      <c r="T644" s="378">
        <f>(Table6[[#This Row],[Fault Clearance time]]-Table6[[#This Row],[Fault Start TimeStamp]])*24</f>
        <v>0.68333333333333224</v>
      </c>
      <c r="U644" s="364" t="s">
        <v>499</v>
      </c>
      <c r="V644" s="364" t="s">
        <v>463</v>
      </c>
      <c r="W644" s="354">
        <f>Table6[[#This Row],[Breakdown Time]]*(1/39)</f>
        <v>1.7521367521367494E-2</v>
      </c>
      <c r="X644" s="352" t="s">
        <v>465</v>
      </c>
      <c r="Y644" s="364" t="s">
        <v>131</v>
      </c>
      <c r="Z644" s="121">
        <v>13752</v>
      </c>
      <c r="AA644" s="123">
        <v>391.54999999999939</v>
      </c>
      <c r="AB644" s="121" t="s">
        <v>478</v>
      </c>
    </row>
    <row r="645" spans="1:28">
      <c r="A645" s="121">
        <f t="shared" si="10"/>
        <v>644</v>
      </c>
      <c r="B645" s="123">
        <f>YEAR(Table6[[#This Row],[Date]])+IF(MONTH(Table6[[#This Row],[Date]])&gt;=4,1,0)</f>
        <v>2026</v>
      </c>
      <c r="C645" s="121">
        <f>YEAR(Table6[[#This Row],[Date]])</f>
        <v>2025</v>
      </c>
      <c r="D645" s="121" t="s">
        <v>490</v>
      </c>
      <c r="E645" s="135">
        <f>Table6[[#This Row],[Date]]-DAY(Table6[[#This Row],[Date]])+1</f>
        <v>45778</v>
      </c>
      <c r="F645" s="134">
        <v>45805</v>
      </c>
      <c r="G645" s="121" t="s">
        <v>146</v>
      </c>
      <c r="H645" s="39" t="str">
        <f>_xlfn.XLOOKUP(Table6[[#This Row],[Affected WTG]],'Basic Data'!$A:$A,'Basic Data'!$B:$B)</f>
        <v>PWEGPL</v>
      </c>
      <c r="I645" s="39" t="str">
        <f>_xlfn.XLOOKUP(Table6[[#This Row],[Affected WTG]],'Basic Data'!$A:$A,'Basic Data'!$C:$C)</f>
        <v>MSEDCL</v>
      </c>
      <c r="J645" s="363">
        <f>IFERROR(VLOOKUP(Table6[[#This Row],[Affected WTG]],'Basic Data'!$A$3:$E$56,5,0),"")</f>
        <v>2.564102564102564E-2</v>
      </c>
      <c r="K645" s="121">
        <v>800</v>
      </c>
      <c r="L645" s="39" t="str">
        <f>IFERROR(VLOOKUP(Table6[[#This Row],[Error Code]],'Basic Data'!$T:$U,2,0),"")</f>
        <v>Pitch Drive Error</v>
      </c>
      <c r="M645" s="364" t="s">
        <v>462</v>
      </c>
      <c r="O645" s="365">
        <v>0.6333333333333333</v>
      </c>
      <c r="P645" s="365">
        <v>0.66111111111111109</v>
      </c>
      <c r="Q645" s="365">
        <v>0.81805555555555554</v>
      </c>
      <c r="R645" s="366">
        <f>IF(Table6[[#This Row],[Work Start TimeStamp]]="","",(Table6[[#This Row],[Work Start TimeStamp]]-Table6[[#This Row],[Fault Start TimeStamp]])*24)</f>
        <v>0.66666666666666696</v>
      </c>
      <c r="S645" s="377">
        <f>(Table6[[#This Row],[Fault Clearance time]]-Table6[[#This Row],[Work Start TimeStamp]])*24</f>
        <v>3.7666666666666666</v>
      </c>
      <c r="T645" s="378">
        <f>(Table6[[#This Row],[Fault Clearance time]]-Table6[[#This Row],[Fault Start TimeStamp]])*24</f>
        <v>4.4333333333333336</v>
      </c>
      <c r="U645" s="364" t="s">
        <v>1184</v>
      </c>
      <c r="V645" s="364" t="s">
        <v>463</v>
      </c>
      <c r="W645" s="354">
        <f>Table6[[#This Row],[Breakdown Time]]*(1/39)</f>
        <v>0.11367521367521367</v>
      </c>
      <c r="X645" s="352" t="s">
        <v>465</v>
      </c>
      <c r="Y645" s="364" t="s">
        <v>147</v>
      </c>
      <c r="Z645" s="121">
        <v>7422</v>
      </c>
      <c r="AA645" s="123">
        <v>1371.0083333333334</v>
      </c>
      <c r="AB645" s="121" t="s">
        <v>478</v>
      </c>
    </row>
    <row r="646" spans="1:28">
      <c r="A646" s="121">
        <f t="shared" si="10"/>
        <v>645</v>
      </c>
      <c r="B646" s="123">
        <f>YEAR(Table6[[#This Row],[Date]])+IF(MONTH(Table6[[#This Row],[Date]])&gt;=4,1,0)</f>
        <v>2026</v>
      </c>
      <c r="C646" s="121">
        <f>YEAR(Table6[[#This Row],[Date]])</f>
        <v>2025</v>
      </c>
      <c r="D646" s="121" t="s">
        <v>490</v>
      </c>
      <c r="E646" s="135">
        <f>Table6[[#This Row],[Date]]-DAY(Table6[[#This Row],[Date]])+1</f>
        <v>45778</v>
      </c>
      <c r="F646" s="134">
        <v>45806</v>
      </c>
      <c r="G646" s="121" t="s">
        <v>144</v>
      </c>
      <c r="H646" s="39" t="str">
        <f>_xlfn.XLOOKUP(Table6[[#This Row],[Affected WTG]],'Basic Data'!$A:$A,'Basic Data'!$B:$B)</f>
        <v>PWEGPL</v>
      </c>
      <c r="I646" s="39" t="str">
        <f>_xlfn.XLOOKUP(Table6[[#This Row],[Affected WTG]],'Basic Data'!$A:$A,'Basic Data'!$C:$C)</f>
        <v>MSEDCL</v>
      </c>
      <c r="J646" s="363">
        <f>IFERROR(VLOOKUP(Table6[[#This Row],[Affected WTG]],'Basic Data'!$A$3:$E$56,5,0),"")</f>
        <v>2.564102564102564E-2</v>
      </c>
      <c r="K646" s="121" t="s">
        <v>492</v>
      </c>
      <c r="L646" s="39" t="str">
        <f>IFERROR(VLOOKUP(Table6[[#This Row],[Error Code]],'Basic Data'!$T:$U,2,0),"")</f>
        <v>Manual Stop - Safety Related</v>
      </c>
      <c r="M646" s="364" t="s">
        <v>481</v>
      </c>
      <c r="O646" s="365">
        <v>0</v>
      </c>
      <c r="P646" s="365">
        <v>0.99930555555555556</v>
      </c>
      <c r="Q646" s="365">
        <v>0.99930555555555556</v>
      </c>
      <c r="R646" s="366">
        <f>IF(Table6[[#This Row],[Work Start TimeStamp]]="","",(Table6[[#This Row],[Work Start TimeStamp]]-Table6[[#This Row],[Fault Start TimeStamp]])*24)</f>
        <v>23.983333333333334</v>
      </c>
      <c r="S646" s="377">
        <f>(Table6[[#This Row],[Fault Clearance time]]-Table6[[#This Row],[Work Start TimeStamp]])*24</f>
        <v>0</v>
      </c>
      <c r="T646" s="378">
        <f>(Table6[[#This Row],[Fault Clearance time]]-Table6[[#This Row],[Fault Start TimeStamp]])*24</f>
        <v>23.983333333333334</v>
      </c>
      <c r="U646" s="364" t="s">
        <v>498</v>
      </c>
      <c r="V646" s="364" t="s">
        <v>473</v>
      </c>
      <c r="W646" s="354">
        <f>Table6[[#This Row],[Breakdown Time]]*(1/39)</f>
        <v>0.61495726495726499</v>
      </c>
      <c r="X646" s="352" t="s">
        <v>468</v>
      </c>
      <c r="Y646" s="364" t="s">
        <v>141</v>
      </c>
      <c r="Z646" s="121">
        <v>12268</v>
      </c>
      <c r="AA646" s="123">
        <v>12259.480555555556</v>
      </c>
      <c r="AB646" s="121" t="s">
        <v>478</v>
      </c>
    </row>
    <row r="647" spans="1:28">
      <c r="A647" s="121">
        <f t="shared" si="10"/>
        <v>646</v>
      </c>
      <c r="B647" s="123">
        <f>YEAR(Table6[[#This Row],[Date]])+IF(MONTH(Table6[[#This Row],[Date]])&gt;=4,1,0)</f>
        <v>2026</v>
      </c>
      <c r="C647" s="121">
        <f>YEAR(Table6[[#This Row],[Date]])</f>
        <v>2025</v>
      </c>
      <c r="D647" s="121" t="s">
        <v>490</v>
      </c>
      <c r="E647" s="135">
        <f>Table6[[#This Row],[Date]]-DAY(Table6[[#This Row],[Date]])+1</f>
        <v>45778</v>
      </c>
      <c r="F647" s="134">
        <v>45806</v>
      </c>
      <c r="G647" s="121" t="s">
        <v>142</v>
      </c>
      <c r="H647" s="39" t="str">
        <f>_xlfn.XLOOKUP(Table6[[#This Row],[Affected WTG]],'Basic Data'!$A:$A,'Basic Data'!$B:$B)</f>
        <v>PWEGPL</v>
      </c>
      <c r="I647" s="39" t="str">
        <f>_xlfn.XLOOKUP(Table6[[#This Row],[Affected WTG]],'Basic Data'!$A:$A,'Basic Data'!$C:$C)</f>
        <v>MSEDCL</v>
      </c>
      <c r="J647" s="363">
        <f>IFERROR(VLOOKUP(Table6[[#This Row],[Affected WTG]],'Basic Data'!$A$3:$E$56,5,0),"")</f>
        <v>2.564102564102564E-2</v>
      </c>
      <c r="K647" s="121" t="s">
        <v>492</v>
      </c>
      <c r="L647" s="39" t="str">
        <f>IFERROR(VLOOKUP(Table6[[#This Row],[Error Code]],'Basic Data'!$T:$U,2,0),"")</f>
        <v>Manual Stop - Safety Related</v>
      </c>
      <c r="M647" s="364" t="s">
        <v>481</v>
      </c>
      <c r="O647" s="365">
        <v>0</v>
      </c>
      <c r="P647" s="365">
        <v>0.99930555555555556</v>
      </c>
      <c r="Q647" s="365">
        <v>0.99930555555555556</v>
      </c>
      <c r="R647" s="366">
        <f>IF(Table6[[#This Row],[Work Start TimeStamp]]="","",(Table6[[#This Row],[Work Start TimeStamp]]-Table6[[#This Row],[Fault Start TimeStamp]])*24)</f>
        <v>23.983333333333334</v>
      </c>
      <c r="S647" s="377">
        <f>(Table6[[#This Row],[Fault Clearance time]]-Table6[[#This Row],[Work Start TimeStamp]])*24</f>
        <v>0</v>
      </c>
      <c r="T647" s="378">
        <f>(Table6[[#This Row],[Fault Clearance time]]-Table6[[#This Row],[Fault Start TimeStamp]])*24</f>
        <v>23.983333333333334</v>
      </c>
      <c r="U647" s="364" t="s">
        <v>498</v>
      </c>
      <c r="V647" s="364" t="s">
        <v>473</v>
      </c>
      <c r="W647" s="354">
        <f>Table6[[#This Row],[Breakdown Time]]*(1/39)</f>
        <v>0.61495726495726499</v>
      </c>
      <c r="X647" s="352" t="s">
        <v>468</v>
      </c>
      <c r="Y647" s="364" t="s">
        <v>141</v>
      </c>
      <c r="Z647" s="121">
        <v>12268</v>
      </c>
      <c r="AA647" s="123">
        <v>12259.480555555556</v>
      </c>
      <c r="AB647" s="121" t="s">
        <v>478</v>
      </c>
    </row>
    <row r="648" spans="1:28">
      <c r="A648" s="121">
        <f t="shared" si="10"/>
        <v>647</v>
      </c>
      <c r="B648" s="123">
        <f>YEAR(Table6[[#This Row],[Date]])+IF(MONTH(Table6[[#This Row],[Date]])&gt;=4,1,0)</f>
        <v>2026</v>
      </c>
      <c r="C648" s="121">
        <f>YEAR(Table6[[#This Row],[Date]])</f>
        <v>2025</v>
      </c>
      <c r="D648" s="121" t="s">
        <v>490</v>
      </c>
      <c r="E648" s="135">
        <f>Table6[[#This Row],[Date]]-DAY(Table6[[#This Row],[Date]])+1</f>
        <v>45778</v>
      </c>
      <c r="F648" s="134">
        <v>45806</v>
      </c>
      <c r="G648" s="121" t="s">
        <v>118</v>
      </c>
      <c r="H648" s="39" t="str">
        <f>_xlfn.XLOOKUP(Table6[[#This Row],[Affected WTG]],'Basic Data'!$A:$A,'Basic Data'!$B:$B)</f>
        <v>PWEGPL</v>
      </c>
      <c r="I648" s="39" t="str">
        <f>_xlfn.XLOOKUP(Table6[[#This Row],[Affected WTG]],'Basic Data'!$A:$A,'Basic Data'!$C:$C)</f>
        <v>MSEDCL</v>
      </c>
      <c r="J648" s="363">
        <f>IFERROR(VLOOKUP(Table6[[#This Row],[Affected WTG]],'Basic Data'!$A$3:$E$56,5,0),"")</f>
        <v>2.564102564102564E-2</v>
      </c>
      <c r="K648" s="121">
        <v>203</v>
      </c>
      <c r="L648" s="39" t="str">
        <f>IFERROR(VLOOKUP(Table6[[#This Row],[Error Code]],'Basic Data'!$T:$U,2,0),"")</f>
        <v>Low Pressure On Hydraulic Group</v>
      </c>
      <c r="M648" s="364" t="s">
        <v>462</v>
      </c>
      <c r="O648" s="365">
        <v>0.73263888888888884</v>
      </c>
      <c r="P648" s="365">
        <v>0.76388888888888884</v>
      </c>
      <c r="Q648" s="365">
        <v>0.76527777777777772</v>
      </c>
      <c r="R648" s="366">
        <f>IF(Table6[[#This Row],[Work Start TimeStamp]]="","",(Table6[[#This Row],[Work Start TimeStamp]]-Table6[[#This Row],[Fault Start TimeStamp]])*24)</f>
        <v>0.75</v>
      </c>
      <c r="S648" s="377">
        <f>(Table6[[#This Row],[Fault Clearance time]]-Table6[[#This Row],[Work Start TimeStamp]])*24</f>
        <v>3.3333333333333215E-2</v>
      </c>
      <c r="T648" s="378">
        <f>(Table6[[#This Row],[Fault Clearance time]]-Table6[[#This Row],[Fault Start TimeStamp]])*24</f>
        <v>0.78333333333333321</v>
      </c>
      <c r="U648" s="364" t="s">
        <v>493</v>
      </c>
      <c r="V648" s="364" t="s">
        <v>463</v>
      </c>
      <c r="W648" s="354">
        <f>Table6[[#This Row],[Breakdown Time]]*(1/39)</f>
        <v>2.008547008547008E-2</v>
      </c>
      <c r="X648" s="352" t="s">
        <v>465</v>
      </c>
      <c r="Y648" s="364" t="s">
        <v>117</v>
      </c>
      <c r="Z648" s="121">
        <v>16454</v>
      </c>
      <c r="AA648" s="123">
        <v>537.04027777777776</v>
      </c>
      <c r="AB648" s="121" t="s">
        <v>478</v>
      </c>
    </row>
    <row r="649" spans="1:28">
      <c r="A649" s="121">
        <f t="shared" si="10"/>
        <v>648</v>
      </c>
      <c r="B649" s="123">
        <f>YEAR(Table6[[#This Row],[Date]])+IF(MONTH(Table6[[#This Row],[Date]])&gt;=4,1,0)</f>
        <v>2026</v>
      </c>
      <c r="C649" s="121">
        <f>YEAR(Table6[[#This Row],[Date]])</f>
        <v>2025</v>
      </c>
      <c r="D649" s="121" t="s">
        <v>490</v>
      </c>
      <c r="E649" s="135">
        <f>Table6[[#This Row],[Date]]-DAY(Table6[[#This Row],[Date]])+1</f>
        <v>45778</v>
      </c>
      <c r="F649" s="134">
        <v>45806</v>
      </c>
      <c r="G649" s="121" t="s">
        <v>127</v>
      </c>
      <c r="H649" s="39" t="str">
        <f>_xlfn.XLOOKUP(Table6[[#This Row],[Affected WTG]],'Basic Data'!$A:$A,'Basic Data'!$B:$B)</f>
        <v>PWEGPL</v>
      </c>
      <c r="I649" s="39" t="str">
        <f>_xlfn.XLOOKUP(Table6[[#This Row],[Affected WTG]],'Basic Data'!$A:$A,'Basic Data'!$C:$C)</f>
        <v>MSEDCL</v>
      </c>
      <c r="J649" s="363">
        <f>IFERROR(VLOOKUP(Table6[[#This Row],[Affected WTG]],'Basic Data'!$A$3:$E$56,5,0),"")</f>
        <v>2.564102564102564E-2</v>
      </c>
      <c r="K649" s="121" t="s">
        <v>476</v>
      </c>
      <c r="L649" s="39" t="str">
        <f>IFERROR(VLOOKUP(Table6[[#This Row],[Error Code]],'Basic Data'!$T:$U,2,0),"")</f>
        <v>Manual Stop - Preventive Maintenance Activity</v>
      </c>
      <c r="M649" s="364" t="s">
        <v>474</v>
      </c>
      <c r="O649" s="365">
        <v>0.47916666666666669</v>
      </c>
      <c r="P649" s="365">
        <v>0.47916666666666669</v>
      </c>
      <c r="Q649" s="365">
        <v>0.78125</v>
      </c>
      <c r="R649" s="366">
        <f>IF(Table6[[#This Row],[Work Start TimeStamp]]="","",(Table6[[#This Row],[Work Start TimeStamp]]-Table6[[#This Row],[Fault Start TimeStamp]])*24)</f>
        <v>0</v>
      </c>
      <c r="S649" s="367">
        <f>(Table6[[#This Row],[Fault Clearance time]]-Table6[[#This Row],[Work Start TimeStamp]])*24</f>
        <v>7.25</v>
      </c>
      <c r="T649" s="368">
        <f>(Table6[[#This Row],[Fault Clearance time]]-Table6[[#This Row],[Fault Start TimeStamp]])*24</f>
        <v>7.25</v>
      </c>
      <c r="U649" s="364" t="s">
        <v>582</v>
      </c>
      <c r="V649" s="364" t="s">
        <v>463</v>
      </c>
      <c r="W649" s="354">
        <f>Table6[[#This Row],[Breakdown Time]]*(1/39)</f>
        <v>0.1858974358974359</v>
      </c>
      <c r="X649" s="352" t="s">
        <v>467</v>
      </c>
      <c r="Y649" s="364" t="s">
        <v>126</v>
      </c>
      <c r="Z649" s="121">
        <v>16467</v>
      </c>
      <c r="AA649" s="123">
        <v>4974.40625</v>
      </c>
      <c r="AB649" s="121" t="s">
        <v>478</v>
      </c>
    </row>
    <row r="650" spans="1:28">
      <c r="A650" s="121">
        <f t="shared" si="10"/>
        <v>649</v>
      </c>
      <c r="B650" s="123">
        <f>YEAR(Table6[[#This Row],[Date]])+IF(MONTH(Table6[[#This Row],[Date]])&gt;=4,1,0)</f>
        <v>2026</v>
      </c>
      <c r="C650" s="121">
        <f>YEAR(Table6[[#This Row],[Date]])</f>
        <v>2025</v>
      </c>
      <c r="D650" s="121" t="s">
        <v>490</v>
      </c>
      <c r="E650" s="135">
        <f>Table6[[#This Row],[Date]]-DAY(Table6[[#This Row],[Date]])+1</f>
        <v>45778</v>
      </c>
      <c r="F650" s="134">
        <v>45806</v>
      </c>
      <c r="G650" s="121" t="s">
        <v>128</v>
      </c>
      <c r="H650" s="39" t="str">
        <f>_xlfn.XLOOKUP(Table6[[#This Row],[Affected WTG]],'Basic Data'!$A:$A,'Basic Data'!$B:$B)</f>
        <v>PWEGPL</v>
      </c>
      <c r="I650" s="39" t="str">
        <f>_xlfn.XLOOKUP(Table6[[#This Row],[Affected WTG]],'Basic Data'!$A:$A,'Basic Data'!$C:$C)</f>
        <v>MSEDCL</v>
      </c>
      <c r="J650" s="363">
        <f>IFERROR(VLOOKUP(Table6[[#This Row],[Affected WTG]],'Basic Data'!$A$3:$E$56,5,0),"")</f>
        <v>2.564102564102564E-2</v>
      </c>
      <c r="K650" s="121">
        <v>5238</v>
      </c>
      <c r="L650" s="39" t="str">
        <f>IFERROR(VLOOKUP(Table6[[#This Row],[Error Code]],'Basic Data'!$T:$U,2,0),"")</f>
        <v>Error In Phase T Of The Inverter</v>
      </c>
      <c r="M650" s="364" t="s">
        <v>462</v>
      </c>
      <c r="O650" s="365">
        <v>0.45833333333333331</v>
      </c>
      <c r="P650" s="365">
        <v>0.4826388888888889</v>
      </c>
      <c r="Q650" s="365">
        <v>0.59722222222222221</v>
      </c>
      <c r="R650" s="366">
        <f>IF(Table6[[#This Row],[Work Start TimeStamp]]="","",(Table6[[#This Row],[Work Start TimeStamp]]-Table6[[#This Row],[Fault Start TimeStamp]])*24)</f>
        <v>0.58333333333333393</v>
      </c>
      <c r="S650" s="377">
        <f>(Table6[[#This Row],[Fault Clearance time]]-Table6[[#This Row],[Work Start TimeStamp]])*24</f>
        <v>2.7499999999999996</v>
      </c>
      <c r="T650" s="378">
        <f>(Table6[[#This Row],[Fault Clearance time]]-Table6[[#This Row],[Fault Start TimeStamp]])*24</f>
        <v>3.3333333333333335</v>
      </c>
      <c r="U650" s="364" t="s">
        <v>1186</v>
      </c>
      <c r="V650" s="364" t="s">
        <v>463</v>
      </c>
      <c r="W650" s="354">
        <f>Table6[[#This Row],[Breakdown Time]]*(1/39)</f>
        <v>8.5470085470085472E-2</v>
      </c>
      <c r="X650" s="352" t="s">
        <v>465</v>
      </c>
      <c r="Y650" s="364" t="s">
        <v>129</v>
      </c>
      <c r="Z650" s="121">
        <v>16061</v>
      </c>
      <c r="AA650" s="123">
        <v>2230.6944444444448</v>
      </c>
      <c r="AB650" s="121" t="s">
        <v>478</v>
      </c>
    </row>
    <row r="651" spans="1:28">
      <c r="A651" s="121">
        <f t="shared" si="10"/>
        <v>650</v>
      </c>
      <c r="B651" s="123">
        <f>YEAR(Table6[[#This Row],[Date]])+IF(MONTH(Table6[[#This Row],[Date]])&gt;=4,1,0)</f>
        <v>2026</v>
      </c>
      <c r="C651" s="121">
        <f>YEAR(Table6[[#This Row],[Date]])</f>
        <v>2025</v>
      </c>
      <c r="D651" s="121" t="s">
        <v>490</v>
      </c>
      <c r="E651" s="135">
        <f>Table6[[#This Row],[Date]]-DAY(Table6[[#This Row],[Date]])+1</f>
        <v>45778</v>
      </c>
      <c r="F651" s="134">
        <v>45806</v>
      </c>
      <c r="G651" s="121" t="s">
        <v>138</v>
      </c>
      <c r="H651" s="39" t="str">
        <f>_xlfn.XLOOKUP(Table6[[#This Row],[Affected WTG]],'Basic Data'!$A:$A,'Basic Data'!$B:$B)</f>
        <v>PWEGPL</v>
      </c>
      <c r="I651" s="39" t="str">
        <f>_xlfn.XLOOKUP(Table6[[#This Row],[Affected WTG]],'Basic Data'!$A:$A,'Basic Data'!$C:$C)</f>
        <v>MSEDCL</v>
      </c>
      <c r="J651" s="363">
        <f>IFERROR(VLOOKUP(Table6[[#This Row],[Affected WTG]],'Basic Data'!$A$3:$E$56,5,0),"")</f>
        <v>2.564102564102564E-2</v>
      </c>
      <c r="K651" s="121">
        <v>5203</v>
      </c>
      <c r="L651" s="39" t="str">
        <f>IFERROR(VLOOKUP(Table6[[#This Row],[Error Code]],'Basic Data'!$T:$U,2,0),"")</f>
        <v>Heating/Coolant Thermal Magnetic Failure</v>
      </c>
      <c r="M651" s="364" t="s">
        <v>462</v>
      </c>
      <c r="O651" s="365">
        <v>0.63541666666666663</v>
      </c>
      <c r="P651" s="365">
        <v>0.77222222222222225</v>
      </c>
      <c r="Q651" s="365">
        <v>0.77430555555555558</v>
      </c>
      <c r="R651" s="366">
        <f>IF(Table6[[#This Row],[Work Start TimeStamp]]="","",(Table6[[#This Row],[Work Start TimeStamp]]-Table6[[#This Row],[Fault Start TimeStamp]])*24)</f>
        <v>3.283333333333335</v>
      </c>
      <c r="S651" s="377">
        <f>(Table6[[#This Row],[Fault Clearance time]]-Table6[[#This Row],[Work Start TimeStamp]])*24</f>
        <v>4.9999999999999822E-2</v>
      </c>
      <c r="T651" s="378">
        <f>(Table6[[#This Row],[Fault Clearance time]]-Table6[[#This Row],[Fault Start TimeStamp]])*24</f>
        <v>3.3333333333333348</v>
      </c>
      <c r="U651" s="364" t="s">
        <v>493</v>
      </c>
      <c r="V651" s="364" t="s">
        <v>463</v>
      </c>
      <c r="W651" s="354">
        <f>Table6[[#This Row],[Breakdown Time]]*(1/39)</f>
        <v>8.54700854700855E-2</v>
      </c>
      <c r="X651" s="352" t="s">
        <v>465</v>
      </c>
      <c r="Y651" s="364" t="s">
        <v>140</v>
      </c>
      <c r="Z651" s="121">
        <v>12264</v>
      </c>
      <c r="AA651" s="123">
        <v>1703.3333333333342</v>
      </c>
      <c r="AB651" s="121" t="s">
        <v>478</v>
      </c>
    </row>
    <row r="652" spans="1:28">
      <c r="A652" s="121">
        <f t="shared" si="10"/>
        <v>651</v>
      </c>
      <c r="B652" s="123">
        <f>YEAR(Table6[[#This Row],[Date]])+IF(MONTH(Table6[[#This Row],[Date]])&gt;=4,1,0)</f>
        <v>2026</v>
      </c>
      <c r="C652" s="121">
        <f>YEAR(Table6[[#This Row],[Date]])</f>
        <v>2025</v>
      </c>
      <c r="D652" s="121" t="s">
        <v>490</v>
      </c>
      <c r="E652" s="135">
        <f>Table6[[#This Row],[Date]]-DAY(Table6[[#This Row],[Date]])+1</f>
        <v>45778</v>
      </c>
      <c r="F652" s="134">
        <v>45806</v>
      </c>
      <c r="G652" s="121" t="s">
        <v>146</v>
      </c>
      <c r="H652" s="39" t="str">
        <f>_xlfn.XLOOKUP(Table6[[#This Row],[Affected WTG]],'Basic Data'!$A:$A,'Basic Data'!$B:$B)</f>
        <v>PWEGPL</v>
      </c>
      <c r="I652" s="39" t="str">
        <f>_xlfn.XLOOKUP(Table6[[#This Row],[Affected WTG]],'Basic Data'!$A:$A,'Basic Data'!$C:$C)</f>
        <v>MSEDCL</v>
      </c>
      <c r="J652" s="363">
        <f>IFERROR(VLOOKUP(Table6[[#This Row],[Affected WTG]],'Basic Data'!$A$3:$E$56,5,0),"")</f>
        <v>2.564102564102564E-2</v>
      </c>
      <c r="K652" s="121" t="s">
        <v>487</v>
      </c>
      <c r="L652" s="39" t="str">
        <f>IFERROR(VLOOKUP(Table6[[#This Row],[Error Code]],'Basic Data'!$T:$U,2,0),"")</f>
        <v>General Work Stoppage</v>
      </c>
      <c r="M652" s="364" t="s">
        <v>479</v>
      </c>
      <c r="O652" s="365">
        <v>0.53819444444444442</v>
      </c>
      <c r="P652" s="365">
        <v>0.53819444444444442</v>
      </c>
      <c r="Q652" s="365">
        <v>0.84027777777777779</v>
      </c>
      <c r="R652" s="366">
        <f>IF(Table6[[#This Row],[Work Start TimeStamp]]="","",(Table6[[#This Row],[Work Start TimeStamp]]-Table6[[#This Row],[Fault Start TimeStamp]])*24)</f>
        <v>0</v>
      </c>
      <c r="S652" s="377">
        <f>(Table6[[#This Row],[Fault Clearance time]]-Table6[[#This Row],[Work Start TimeStamp]])*24</f>
        <v>7.2500000000000009</v>
      </c>
      <c r="T652" s="378">
        <f>(Table6[[#This Row],[Fault Clearance time]]-Table6[[#This Row],[Fault Start TimeStamp]])*24</f>
        <v>7.2500000000000009</v>
      </c>
      <c r="U652" s="364" t="s">
        <v>1187</v>
      </c>
      <c r="V652" s="364" t="s">
        <v>463</v>
      </c>
      <c r="W652" s="354">
        <f>Table6[[#This Row],[Breakdown Time]]*(1/39)</f>
        <v>0.1858974358974359</v>
      </c>
      <c r="X652" s="352" t="s">
        <v>464</v>
      </c>
      <c r="Y652" s="364" t="s">
        <v>147</v>
      </c>
      <c r="Z652" s="121">
        <v>13853</v>
      </c>
      <c r="AA652" s="123">
        <v>4184.7604166666679</v>
      </c>
      <c r="AB652" s="121" t="s">
        <v>478</v>
      </c>
    </row>
    <row r="653" spans="1:28">
      <c r="A653" s="121">
        <f t="shared" si="10"/>
        <v>652</v>
      </c>
      <c r="B653" s="123">
        <f>YEAR(Table6[[#This Row],[Date]])+IF(MONTH(Table6[[#This Row],[Date]])&gt;=4,1,0)</f>
        <v>2026</v>
      </c>
      <c r="C653" s="121">
        <f>YEAR(Table6[[#This Row],[Date]])</f>
        <v>2025</v>
      </c>
      <c r="D653" s="121" t="s">
        <v>490</v>
      </c>
      <c r="E653" s="135">
        <f>Table6[[#This Row],[Date]]-DAY(Table6[[#This Row],[Date]])+1</f>
        <v>45778</v>
      </c>
      <c r="F653" s="134">
        <v>45806</v>
      </c>
      <c r="G653" s="121" t="s">
        <v>149</v>
      </c>
      <c r="H653" s="39" t="str">
        <f>_xlfn.XLOOKUP(Table6[[#This Row],[Affected WTG]],'Basic Data'!$A:$A,'Basic Data'!$B:$B)</f>
        <v>PWEGPL</v>
      </c>
      <c r="I653" s="39" t="str">
        <f>_xlfn.XLOOKUP(Table6[[#This Row],[Affected WTG]],'Basic Data'!$A:$A,'Basic Data'!$C:$C)</f>
        <v>MSEDCL</v>
      </c>
      <c r="J653" s="363">
        <f>IFERROR(VLOOKUP(Table6[[#This Row],[Affected WTG]],'Basic Data'!$A$3:$E$56,5,0),"")</f>
        <v>2.564102564102564E-2</v>
      </c>
      <c r="K653" s="121">
        <v>2118</v>
      </c>
      <c r="L653" s="39" t="str">
        <f>IFERROR(VLOOKUP(Table6[[#This Row],[Error Code]],'Basic Data'!$T:$U,2,0),"")</f>
        <v>Bus Error - Interbus Failure</v>
      </c>
      <c r="M653" s="364" t="s">
        <v>462</v>
      </c>
      <c r="O653" s="365">
        <v>0.70902777777777781</v>
      </c>
      <c r="P653" s="365">
        <v>0.76041666666666663</v>
      </c>
      <c r="Q653" s="365">
        <v>0.76249999999999996</v>
      </c>
      <c r="R653" s="366">
        <f>IF(Table6[[#This Row],[Work Start TimeStamp]]="","",(Table6[[#This Row],[Work Start TimeStamp]]-Table6[[#This Row],[Fault Start TimeStamp]])*24)</f>
        <v>1.2333333333333316</v>
      </c>
      <c r="S653" s="377">
        <f>(Table6[[#This Row],[Fault Clearance time]]-Table6[[#This Row],[Work Start TimeStamp]])*24</f>
        <v>4.9999999999999822E-2</v>
      </c>
      <c r="T653" s="378">
        <f>(Table6[[#This Row],[Fault Clearance time]]-Table6[[#This Row],[Fault Start TimeStamp]])*24</f>
        <v>1.2833333333333314</v>
      </c>
      <c r="U653" s="364" t="s">
        <v>491</v>
      </c>
      <c r="V653" s="364" t="s">
        <v>463</v>
      </c>
      <c r="W653" s="354">
        <f>Table6[[#This Row],[Breakdown Time]]*(1/39)</f>
        <v>3.2905982905982858E-2</v>
      </c>
      <c r="X653" s="352" t="s">
        <v>465</v>
      </c>
      <c r="Y653" s="364" t="s">
        <v>150</v>
      </c>
      <c r="Z653" s="121">
        <v>13857</v>
      </c>
      <c r="AA653" s="123">
        <v>740.96458333333226</v>
      </c>
      <c r="AB653" s="121" t="s">
        <v>478</v>
      </c>
    </row>
    <row r="654" spans="1:28">
      <c r="A654" s="121">
        <f t="shared" si="10"/>
        <v>653</v>
      </c>
      <c r="B654" s="123">
        <f>YEAR(Table6[[#This Row],[Date]])+IF(MONTH(Table6[[#This Row],[Date]])&gt;=4,1,0)</f>
        <v>2026</v>
      </c>
      <c r="C654" s="121">
        <f>YEAR(Table6[[#This Row],[Date]])</f>
        <v>2025</v>
      </c>
      <c r="D654" s="121" t="s">
        <v>490</v>
      </c>
      <c r="E654" s="135">
        <f>Table6[[#This Row],[Date]]-DAY(Table6[[#This Row],[Date]])+1</f>
        <v>45778</v>
      </c>
      <c r="F654" s="134">
        <v>45807</v>
      </c>
      <c r="G654" s="121" t="s">
        <v>144</v>
      </c>
      <c r="H654" s="39" t="str">
        <f>_xlfn.XLOOKUP(Table6[[#This Row],[Affected WTG]],'Basic Data'!$A:$A,'Basic Data'!$B:$B)</f>
        <v>PWEGPL</v>
      </c>
      <c r="I654" s="39" t="str">
        <f>_xlfn.XLOOKUP(Table6[[#This Row],[Affected WTG]],'Basic Data'!$A:$A,'Basic Data'!$C:$C)</f>
        <v>MSEDCL</v>
      </c>
      <c r="J654" s="363">
        <f>IFERROR(VLOOKUP(Table6[[#This Row],[Affected WTG]],'Basic Data'!$A$3:$E$56,5,0),"")</f>
        <v>2.564102564102564E-2</v>
      </c>
      <c r="K654" s="121" t="s">
        <v>492</v>
      </c>
      <c r="L654" s="39" t="str">
        <f>IFERROR(VLOOKUP(Table6[[#This Row],[Error Code]],'Basic Data'!$T:$U,2,0),"")</f>
        <v>Manual Stop - Safety Related</v>
      </c>
      <c r="M654" s="364" t="s">
        <v>481</v>
      </c>
      <c r="O654" s="365">
        <v>0</v>
      </c>
      <c r="P654" s="365">
        <v>0.99930555555555556</v>
      </c>
      <c r="Q654" s="365">
        <v>0.99930555555555556</v>
      </c>
      <c r="R654" s="366">
        <f>IF(Table6[[#This Row],[Work Start TimeStamp]]="","",(Table6[[#This Row],[Work Start TimeStamp]]-Table6[[#This Row],[Fault Start TimeStamp]])*24)</f>
        <v>23.983333333333334</v>
      </c>
      <c r="S654" s="377">
        <f>(Table6[[#This Row],[Fault Clearance time]]-Table6[[#This Row],[Work Start TimeStamp]])*24</f>
        <v>0</v>
      </c>
      <c r="T654" s="378">
        <f>(Table6[[#This Row],[Fault Clearance time]]-Table6[[#This Row],[Fault Start TimeStamp]])*24</f>
        <v>23.983333333333334</v>
      </c>
      <c r="U654" s="364" t="s">
        <v>498</v>
      </c>
      <c r="V654" s="364" t="s">
        <v>473</v>
      </c>
      <c r="W654" s="354">
        <f>Table6[[#This Row],[Breakdown Time]]*(1/39)</f>
        <v>0.61495726495726499</v>
      </c>
      <c r="X654" s="352" t="s">
        <v>468</v>
      </c>
      <c r="Y654" s="364" t="s">
        <v>141</v>
      </c>
      <c r="Z654" s="121">
        <v>10990</v>
      </c>
      <c r="AA654" s="123">
        <v>10982.368055555557</v>
      </c>
      <c r="AB654" s="121" t="s">
        <v>478</v>
      </c>
    </row>
    <row r="655" spans="1:28">
      <c r="A655" s="121">
        <f t="shared" si="10"/>
        <v>654</v>
      </c>
      <c r="B655" s="123">
        <f>YEAR(Table6[[#This Row],[Date]])+IF(MONTH(Table6[[#This Row],[Date]])&gt;=4,1,0)</f>
        <v>2026</v>
      </c>
      <c r="C655" s="121">
        <f>YEAR(Table6[[#This Row],[Date]])</f>
        <v>2025</v>
      </c>
      <c r="D655" s="121" t="s">
        <v>490</v>
      </c>
      <c r="E655" s="135">
        <f>Table6[[#This Row],[Date]]-DAY(Table6[[#This Row],[Date]])+1</f>
        <v>45778</v>
      </c>
      <c r="F655" s="134">
        <v>45807</v>
      </c>
      <c r="G655" s="121" t="s">
        <v>142</v>
      </c>
      <c r="H655" s="39" t="str">
        <f>_xlfn.XLOOKUP(Table6[[#This Row],[Affected WTG]],'Basic Data'!$A:$A,'Basic Data'!$B:$B)</f>
        <v>PWEGPL</v>
      </c>
      <c r="I655" s="39" t="str">
        <f>_xlfn.XLOOKUP(Table6[[#This Row],[Affected WTG]],'Basic Data'!$A:$A,'Basic Data'!$C:$C)</f>
        <v>MSEDCL</v>
      </c>
      <c r="J655" s="363">
        <f>IFERROR(VLOOKUP(Table6[[#This Row],[Affected WTG]],'Basic Data'!$A$3:$E$56,5,0),"")</f>
        <v>2.564102564102564E-2</v>
      </c>
      <c r="K655" s="121" t="s">
        <v>492</v>
      </c>
      <c r="L655" s="39" t="str">
        <f>IFERROR(VLOOKUP(Table6[[#This Row],[Error Code]],'Basic Data'!$T:$U,2,0),"")</f>
        <v>Manual Stop - Safety Related</v>
      </c>
      <c r="M655" s="364" t="s">
        <v>481</v>
      </c>
      <c r="O655" s="365">
        <v>0</v>
      </c>
      <c r="P655" s="365">
        <v>0.99930555555555556</v>
      </c>
      <c r="Q655" s="365">
        <v>0.99930555555555556</v>
      </c>
      <c r="R655" s="366">
        <f>IF(Table6[[#This Row],[Work Start TimeStamp]]="","",(Table6[[#This Row],[Work Start TimeStamp]]-Table6[[#This Row],[Fault Start TimeStamp]])*24)</f>
        <v>23.983333333333334</v>
      </c>
      <c r="S655" s="377">
        <f>(Table6[[#This Row],[Fault Clearance time]]-Table6[[#This Row],[Work Start TimeStamp]])*24</f>
        <v>0</v>
      </c>
      <c r="T655" s="378">
        <f>(Table6[[#This Row],[Fault Clearance time]]-Table6[[#This Row],[Fault Start TimeStamp]])*24</f>
        <v>23.983333333333334</v>
      </c>
      <c r="U655" s="364" t="s">
        <v>498</v>
      </c>
      <c r="V655" s="364" t="s">
        <v>473</v>
      </c>
      <c r="W655" s="354">
        <f>Table6[[#This Row],[Breakdown Time]]*(1/39)</f>
        <v>0.61495726495726499</v>
      </c>
      <c r="X655" s="352" t="s">
        <v>468</v>
      </c>
      <c r="Y655" s="364" t="s">
        <v>141</v>
      </c>
      <c r="Z655" s="121">
        <v>10990</v>
      </c>
      <c r="AA655" s="123">
        <v>10982.368055555557</v>
      </c>
      <c r="AB655" s="121" t="s">
        <v>478</v>
      </c>
    </row>
    <row r="656" spans="1:28">
      <c r="A656" s="121">
        <f t="shared" si="10"/>
        <v>655</v>
      </c>
      <c r="B656" s="123">
        <f>YEAR(Table6[[#This Row],[Date]])+IF(MONTH(Table6[[#This Row],[Date]])&gt;=4,1,0)</f>
        <v>2026</v>
      </c>
      <c r="C656" s="121">
        <f>YEAR(Table6[[#This Row],[Date]])</f>
        <v>2025</v>
      </c>
      <c r="D656" s="121" t="s">
        <v>490</v>
      </c>
      <c r="E656" s="135">
        <f>Table6[[#This Row],[Date]]-DAY(Table6[[#This Row],[Date]])+1</f>
        <v>45778</v>
      </c>
      <c r="F656" s="134">
        <v>45807</v>
      </c>
      <c r="G656" s="121" t="s">
        <v>116</v>
      </c>
      <c r="H656" s="39" t="str">
        <f>_xlfn.XLOOKUP(Table6[[#This Row],[Affected WTG]],'Basic Data'!$A:$A,'Basic Data'!$B:$B)</f>
        <v>PWEGPL</v>
      </c>
      <c r="I656" s="39" t="str">
        <f>_xlfn.XLOOKUP(Table6[[#This Row],[Affected WTG]],'Basic Data'!$A:$A,'Basic Data'!$C:$C)</f>
        <v>MSEDCL</v>
      </c>
      <c r="J656" s="363">
        <f>IFERROR(VLOOKUP(Table6[[#This Row],[Affected WTG]],'Basic Data'!$A$3:$E$56,5,0),"")</f>
        <v>2.564102564102564E-2</v>
      </c>
      <c r="K656" s="121" t="s">
        <v>466</v>
      </c>
      <c r="L656" s="39" t="str">
        <f>IFERROR(VLOOKUP(Table6[[#This Row],[Error Code]],'Basic Data'!$T:$U,2,0),"")</f>
        <v>Manual Stop</v>
      </c>
      <c r="M656" s="364" t="s">
        <v>507</v>
      </c>
      <c r="O656" s="365">
        <v>0.68194444444444446</v>
      </c>
      <c r="P656" s="365">
        <v>0.68194444444444446</v>
      </c>
      <c r="Q656" s="365">
        <v>0.8125</v>
      </c>
      <c r="R656" s="366">
        <f>IF(Table6[[#This Row],[Work Start TimeStamp]]="","",(Table6[[#This Row],[Work Start TimeStamp]]-Table6[[#This Row],[Fault Start TimeStamp]])*24)</f>
        <v>0</v>
      </c>
      <c r="S656" s="377">
        <f>(Table6[[#This Row],[Fault Clearance time]]-Table6[[#This Row],[Work Start TimeStamp]])*24</f>
        <v>3.1333333333333329</v>
      </c>
      <c r="T656" s="378">
        <f>(Table6[[#This Row],[Fault Clearance time]]-Table6[[#This Row],[Fault Start TimeStamp]])*24</f>
        <v>3.1333333333333329</v>
      </c>
      <c r="U656" s="364" t="s">
        <v>1191</v>
      </c>
      <c r="V656" s="364" t="s">
        <v>463</v>
      </c>
      <c r="W656" s="354">
        <f>Table6[[#This Row],[Breakdown Time]]*(1/39)</f>
        <v>8.034188034188032E-2</v>
      </c>
      <c r="X656" s="352" t="s">
        <v>464</v>
      </c>
      <c r="Y656" s="364" t="s">
        <v>118</v>
      </c>
      <c r="Z656" s="121">
        <v>14797</v>
      </c>
      <c r="AA656" s="123">
        <v>1931.8305555555551</v>
      </c>
      <c r="AB656" s="121" t="s">
        <v>478</v>
      </c>
    </row>
    <row r="657" spans="1:28">
      <c r="A657" s="121">
        <f t="shared" si="10"/>
        <v>656</v>
      </c>
      <c r="B657" s="123">
        <f>YEAR(Table6[[#This Row],[Date]])+IF(MONTH(Table6[[#This Row],[Date]])&gt;=4,1,0)</f>
        <v>2026</v>
      </c>
      <c r="C657" s="121">
        <f>YEAR(Table6[[#This Row],[Date]])</f>
        <v>2025</v>
      </c>
      <c r="D657" s="121" t="s">
        <v>490</v>
      </c>
      <c r="E657" s="135">
        <f>Table6[[#This Row],[Date]]-DAY(Table6[[#This Row],[Date]])+1</f>
        <v>45778</v>
      </c>
      <c r="F657" s="134">
        <v>45807</v>
      </c>
      <c r="G657" s="121" t="s">
        <v>118</v>
      </c>
      <c r="H657" s="39" t="str">
        <f>_xlfn.XLOOKUP(Table6[[#This Row],[Affected WTG]],'Basic Data'!$A:$A,'Basic Data'!$B:$B)</f>
        <v>PWEGPL</v>
      </c>
      <c r="I657" s="39" t="str">
        <f>_xlfn.XLOOKUP(Table6[[#This Row],[Affected WTG]],'Basic Data'!$A:$A,'Basic Data'!$C:$C)</f>
        <v>MSEDCL</v>
      </c>
      <c r="J657" s="363">
        <f>IFERROR(VLOOKUP(Table6[[#This Row],[Affected WTG]],'Basic Data'!$A$3:$E$56,5,0),"")</f>
        <v>2.564102564102564E-2</v>
      </c>
      <c r="K657" s="121">
        <v>203</v>
      </c>
      <c r="L657" s="39" t="str">
        <f>IFERROR(VLOOKUP(Table6[[#This Row],[Error Code]],'Basic Data'!$T:$U,2,0),"")</f>
        <v>Low Pressure On Hydraulic Group</v>
      </c>
      <c r="M657" s="364" t="s">
        <v>462</v>
      </c>
      <c r="O657" s="365">
        <v>0.57430555555555551</v>
      </c>
      <c r="P657" s="365">
        <v>0.59375</v>
      </c>
      <c r="Q657" s="365">
        <v>0.62152777777777779</v>
      </c>
      <c r="R657" s="366">
        <f>IF(Table6[[#This Row],[Work Start TimeStamp]]="","",(Table6[[#This Row],[Work Start TimeStamp]]-Table6[[#This Row],[Fault Start TimeStamp]])*24)</f>
        <v>0.46666666666666767</v>
      </c>
      <c r="S657" s="377">
        <f>(Table6[[#This Row],[Fault Clearance time]]-Table6[[#This Row],[Work Start TimeStamp]])*24</f>
        <v>0.66666666666666696</v>
      </c>
      <c r="T657" s="378">
        <f>(Table6[[#This Row],[Fault Clearance time]]-Table6[[#This Row],[Fault Start TimeStamp]])*24</f>
        <v>1.1333333333333346</v>
      </c>
      <c r="U657" s="364" t="s">
        <v>1189</v>
      </c>
      <c r="V657" s="364" t="s">
        <v>463</v>
      </c>
      <c r="W657" s="354">
        <f>Table6[[#This Row],[Breakdown Time]]*(1/39)</f>
        <v>2.9059829059829092E-2</v>
      </c>
      <c r="X657" s="352" t="s">
        <v>465</v>
      </c>
      <c r="Y657" s="364" t="s">
        <v>117</v>
      </c>
      <c r="Z657" s="121">
        <v>15869</v>
      </c>
      <c r="AA657" s="123">
        <v>749.36944444444532</v>
      </c>
      <c r="AB657" s="121" t="s">
        <v>478</v>
      </c>
    </row>
    <row r="658" spans="1:28">
      <c r="A658" s="121">
        <f t="shared" si="10"/>
        <v>657</v>
      </c>
      <c r="B658" s="123">
        <f>YEAR(Table6[[#This Row],[Date]])+IF(MONTH(Table6[[#This Row],[Date]])&gt;=4,1,0)</f>
        <v>2026</v>
      </c>
      <c r="C658" s="121">
        <f>YEAR(Table6[[#This Row],[Date]])</f>
        <v>2025</v>
      </c>
      <c r="D658" s="121" t="s">
        <v>490</v>
      </c>
      <c r="E658" s="135">
        <f>Table6[[#This Row],[Date]]-DAY(Table6[[#This Row],[Date]])+1</f>
        <v>45778</v>
      </c>
      <c r="F658" s="134">
        <v>45807</v>
      </c>
      <c r="G658" s="121" t="s">
        <v>130</v>
      </c>
      <c r="H658" s="39" t="str">
        <f>_xlfn.XLOOKUP(Table6[[#This Row],[Affected WTG]],'Basic Data'!$A:$A,'Basic Data'!$B:$B)</f>
        <v>PWEGPL</v>
      </c>
      <c r="I658" s="39" t="str">
        <f>_xlfn.XLOOKUP(Table6[[#This Row],[Affected WTG]],'Basic Data'!$A:$A,'Basic Data'!$C:$C)</f>
        <v>MSEDCL</v>
      </c>
      <c r="J658" s="363">
        <f>IFERROR(VLOOKUP(Table6[[#This Row],[Affected WTG]],'Basic Data'!$A$3:$E$56,5,0),"")</f>
        <v>2.564102564102564E-2</v>
      </c>
      <c r="K658" s="121">
        <v>5202</v>
      </c>
      <c r="L658" s="39" t="str">
        <f>IFERROR(VLOOKUP(Table6[[#This Row],[Error Code]],'Basic Data'!$T:$U,2,0),"")</f>
        <v>Stator Contactor Failure</v>
      </c>
      <c r="M658" s="364" t="s">
        <v>462</v>
      </c>
      <c r="O658" s="365">
        <v>0.40625</v>
      </c>
      <c r="P658" s="365">
        <v>0.47986111111111113</v>
      </c>
      <c r="Q658" s="365">
        <v>0.58402777777777781</v>
      </c>
      <c r="R658" s="366">
        <f>IF(Table6[[#This Row],[Work Start TimeStamp]]="","",(Table6[[#This Row],[Work Start TimeStamp]]-Table6[[#This Row],[Fault Start TimeStamp]])*24)</f>
        <v>1.7666666666666671</v>
      </c>
      <c r="S658" s="377">
        <f>(Table6[[#This Row],[Fault Clearance time]]-Table6[[#This Row],[Work Start TimeStamp]])*24</f>
        <v>2.5000000000000004</v>
      </c>
      <c r="T658" s="378">
        <f>(Table6[[#This Row],[Fault Clearance time]]-Table6[[#This Row],[Fault Start TimeStamp]])*24</f>
        <v>4.2666666666666675</v>
      </c>
      <c r="U658" s="364" t="s">
        <v>1190</v>
      </c>
      <c r="V658" s="364" t="s">
        <v>463</v>
      </c>
      <c r="W658" s="354">
        <f>Table6[[#This Row],[Breakdown Time]]*(1/39)</f>
        <v>0.10940170940170942</v>
      </c>
      <c r="X658" s="352" t="s">
        <v>465</v>
      </c>
      <c r="Y658" s="364" t="s">
        <v>131</v>
      </c>
      <c r="Z658" s="121">
        <v>18675</v>
      </c>
      <c r="AA658" s="123">
        <v>3320.0000000000005</v>
      </c>
      <c r="AB658" s="121" t="s">
        <v>478</v>
      </c>
    </row>
    <row r="659" spans="1:28">
      <c r="A659" s="121">
        <f t="shared" si="10"/>
        <v>658</v>
      </c>
      <c r="B659" s="123">
        <f>YEAR(Table6[[#This Row],[Date]])+IF(MONTH(Table6[[#This Row],[Date]])&gt;=4,1,0)</f>
        <v>2026</v>
      </c>
      <c r="C659" s="121">
        <f>YEAR(Table6[[#This Row],[Date]])</f>
        <v>2025</v>
      </c>
      <c r="D659" s="121" t="s">
        <v>490</v>
      </c>
      <c r="E659" s="135">
        <f>Table6[[#This Row],[Date]]-DAY(Table6[[#This Row],[Date]])+1</f>
        <v>45778</v>
      </c>
      <c r="F659" s="134">
        <v>45807</v>
      </c>
      <c r="G659" s="121" t="s">
        <v>138</v>
      </c>
      <c r="H659" s="39" t="str">
        <f>_xlfn.XLOOKUP(Table6[[#This Row],[Affected WTG]],'Basic Data'!$A:$A,'Basic Data'!$B:$B)</f>
        <v>PWEGPL</v>
      </c>
      <c r="I659" s="39" t="str">
        <f>_xlfn.XLOOKUP(Table6[[#This Row],[Affected WTG]],'Basic Data'!$A:$A,'Basic Data'!$C:$C)</f>
        <v>MSEDCL</v>
      </c>
      <c r="J659" s="363">
        <f>IFERROR(VLOOKUP(Table6[[#This Row],[Affected WTG]],'Basic Data'!$A$3:$E$56,5,0),"")</f>
        <v>2.564102564102564E-2</v>
      </c>
      <c r="K659" s="121">
        <v>800</v>
      </c>
      <c r="L659" s="39" t="str">
        <f>IFERROR(VLOOKUP(Table6[[#This Row],[Error Code]],'Basic Data'!$T:$U,2,0),"")</f>
        <v>Pitch Drive Error</v>
      </c>
      <c r="M659" s="364" t="s">
        <v>462</v>
      </c>
      <c r="O659" s="365">
        <v>0.4513888888888889</v>
      </c>
      <c r="P659" s="365">
        <v>0.51666666666666672</v>
      </c>
      <c r="Q659" s="365">
        <v>0.86805555555555558</v>
      </c>
      <c r="R659" s="366">
        <f>IF(Table6[[#This Row],[Work Start TimeStamp]]="","",(Table6[[#This Row],[Work Start TimeStamp]]-Table6[[#This Row],[Fault Start TimeStamp]])*24)</f>
        <v>1.5666666666666678</v>
      </c>
      <c r="S659" s="377">
        <f>(Table6[[#This Row],[Fault Clearance time]]-Table6[[#This Row],[Work Start TimeStamp]])*24</f>
        <v>8.4333333333333336</v>
      </c>
      <c r="T659" s="378">
        <f>(Table6[[#This Row],[Fault Clearance time]]-Table6[[#This Row],[Fault Start TimeStamp]])*24</f>
        <v>10</v>
      </c>
      <c r="U659" s="364" t="s">
        <v>1192</v>
      </c>
      <c r="V659" s="364" t="s">
        <v>463</v>
      </c>
      <c r="W659" s="354">
        <f>Table6[[#This Row],[Breakdown Time]]*(1/39)</f>
        <v>0.25641025641025639</v>
      </c>
      <c r="X659" s="352" t="s">
        <v>465</v>
      </c>
      <c r="Y659" s="364" t="s">
        <v>140</v>
      </c>
      <c r="Z659" s="121">
        <v>11795</v>
      </c>
      <c r="AA659" s="123">
        <v>4914.583333333333</v>
      </c>
      <c r="AB659" s="121" t="s">
        <v>478</v>
      </c>
    </row>
    <row r="660" spans="1:28">
      <c r="A660" s="121">
        <f t="shared" si="10"/>
        <v>659</v>
      </c>
      <c r="B660" s="123">
        <f>YEAR(Table6[[#This Row],[Date]])+IF(MONTH(Table6[[#This Row],[Date]])&gt;=4,1,0)</f>
        <v>2026</v>
      </c>
      <c r="C660" s="121">
        <f>YEAR(Table6[[#This Row],[Date]])</f>
        <v>2025</v>
      </c>
      <c r="D660" s="121" t="s">
        <v>490</v>
      </c>
      <c r="E660" s="135">
        <f>Table6[[#This Row],[Date]]-DAY(Table6[[#This Row],[Date]])+1</f>
        <v>45778</v>
      </c>
      <c r="F660" s="134">
        <v>45807</v>
      </c>
      <c r="G660" s="121" t="s">
        <v>141</v>
      </c>
      <c r="H660" s="39" t="str">
        <f>_xlfn.XLOOKUP(Table6[[#This Row],[Affected WTG]],'Basic Data'!$A:$A,'Basic Data'!$B:$B)</f>
        <v>PWEGPL</v>
      </c>
      <c r="I660" s="39" t="str">
        <f>_xlfn.XLOOKUP(Table6[[#This Row],[Affected WTG]],'Basic Data'!$A:$A,'Basic Data'!$C:$C)</f>
        <v>MSEDCL</v>
      </c>
      <c r="J660" s="363">
        <f>IFERROR(VLOOKUP(Table6[[#This Row],[Affected WTG]],'Basic Data'!$A$3:$E$56,5,0),"")</f>
        <v>2.564102564102564E-2</v>
      </c>
      <c r="K660" s="121">
        <v>800</v>
      </c>
      <c r="L660" s="39" t="str">
        <f>IFERROR(VLOOKUP(Table6[[#This Row],[Error Code]],'Basic Data'!$T:$U,2,0),"")</f>
        <v>Pitch Drive Error</v>
      </c>
      <c r="M660" s="364" t="s">
        <v>462</v>
      </c>
      <c r="O660" s="365">
        <v>0.42708333333333331</v>
      </c>
      <c r="P660" s="365">
        <v>0.45555555555555555</v>
      </c>
      <c r="Q660" s="365">
        <v>0.50347222222222221</v>
      </c>
      <c r="R660" s="366">
        <f>IF(Table6[[#This Row],[Work Start TimeStamp]]="","",(Table6[[#This Row],[Work Start TimeStamp]]-Table6[[#This Row],[Fault Start TimeStamp]])*24)</f>
        <v>0.68333333333333357</v>
      </c>
      <c r="S660" s="377">
        <f>(Table6[[#This Row],[Fault Clearance time]]-Table6[[#This Row],[Work Start TimeStamp]])*24</f>
        <v>1.1499999999999999</v>
      </c>
      <c r="T660" s="378">
        <f>(Table6[[#This Row],[Fault Clearance time]]-Table6[[#This Row],[Fault Start TimeStamp]])*24</f>
        <v>1.8333333333333335</v>
      </c>
      <c r="U660" s="364" t="s">
        <v>1193</v>
      </c>
      <c r="V660" s="364" t="s">
        <v>463</v>
      </c>
      <c r="W660" s="354">
        <f>Table6[[#This Row],[Breakdown Time]]*(1/39)</f>
        <v>4.7008547008547008E-2</v>
      </c>
      <c r="X660" s="352" t="s">
        <v>465</v>
      </c>
      <c r="Y660" s="364" t="s">
        <v>143</v>
      </c>
      <c r="Z660" s="121">
        <v>11786</v>
      </c>
      <c r="AA660" s="123">
        <v>900.31944444444446</v>
      </c>
      <c r="AB660" s="121" t="s">
        <v>478</v>
      </c>
    </row>
    <row r="661" spans="1:28">
      <c r="A661" s="121">
        <f t="shared" si="10"/>
        <v>660</v>
      </c>
      <c r="B661" s="123">
        <f>YEAR(Table6[[#This Row],[Date]])+IF(MONTH(Table6[[#This Row],[Date]])&gt;=4,1,0)</f>
        <v>2026</v>
      </c>
      <c r="C661" s="121">
        <f>YEAR(Table6[[#This Row],[Date]])</f>
        <v>2025</v>
      </c>
      <c r="D661" s="121" t="s">
        <v>490</v>
      </c>
      <c r="E661" s="135">
        <f>Table6[[#This Row],[Date]]-DAY(Table6[[#This Row],[Date]])+1</f>
        <v>45778</v>
      </c>
      <c r="F661" s="134">
        <v>45808</v>
      </c>
      <c r="G661" s="121" t="s">
        <v>144</v>
      </c>
      <c r="H661" s="39" t="str">
        <f>_xlfn.XLOOKUP(Table6[[#This Row],[Affected WTG]],'Basic Data'!$A:$A,'Basic Data'!$B:$B)</f>
        <v>PWEGPL</v>
      </c>
      <c r="I661" s="39" t="str">
        <f>_xlfn.XLOOKUP(Table6[[#This Row],[Affected WTG]],'Basic Data'!$A:$A,'Basic Data'!$C:$C)</f>
        <v>MSEDCL</v>
      </c>
      <c r="J661" s="363">
        <f>IFERROR(VLOOKUP(Table6[[#This Row],[Affected WTG]],'Basic Data'!$A$3:$E$56,5,0),"")</f>
        <v>2.564102564102564E-2</v>
      </c>
      <c r="K661" s="121" t="s">
        <v>492</v>
      </c>
      <c r="L661" s="39" t="str">
        <f>IFERROR(VLOOKUP(Table6[[#This Row],[Error Code]],'Basic Data'!$T:$U,2,0),"")</f>
        <v>Manual Stop - Safety Related</v>
      </c>
      <c r="M661" s="364" t="s">
        <v>481</v>
      </c>
      <c r="O661" s="365">
        <v>0</v>
      </c>
      <c r="P661" s="365">
        <v>0.99930555555555556</v>
      </c>
      <c r="Q661" s="365">
        <v>0.99930555555555556</v>
      </c>
      <c r="R661" s="366">
        <f>IF(Table6[[#This Row],[Work Start TimeStamp]]="","",(Table6[[#This Row],[Work Start TimeStamp]]-Table6[[#This Row],[Fault Start TimeStamp]])*24)</f>
        <v>23.983333333333334</v>
      </c>
      <c r="S661" s="377">
        <f>(Table6[[#This Row],[Fault Clearance time]]-Table6[[#This Row],[Work Start TimeStamp]])*24</f>
        <v>0</v>
      </c>
      <c r="T661" s="378">
        <f>(Table6[[#This Row],[Fault Clearance time]]-Table6[[#This Row],[Fault Start TimeStamp]])*24</f>
        <v>23.983333333333334</v>
      </c>
      <c r="U661" s="364" t="s">
        <v>498</v>
      </c>
      <c r="V661" s="364" t="s">
        <v>473</v>
      </c>
      <c r="W661" s="354">
        <f>Table6[[#This Row],[Breakdown Time]]*(1/39)</f>
        <v>0.61495726495726499</v>
      </c>
      <c r="X661" s="352" t="s">
        <v>468</v>
      </c>
      <c r="Y661" s="364" t="s">
        <v>141</v>
      </c>
      <c r="Z661" s="121">
        <v>17189</v>
      </c>
      <c r="AA661" s="123">
        <v>17177.063194444447</v>
      </c>
      <c r="AB661" s="121" t="s">
        <v>478</v>
      </c>
    </row>
    <row r="662" spans="1:28">
      <c r="A662" s="121">
        <f t="shared" si="10"/>
        <v>661</v>
      </c>
      <c r="B662" s="123">
        <f>YEAR(Table6[[#This Row],[Date]])+IF(MONTH(Table6[[#This Row],[Date]])&gt;=4,1,0)</f>
        <v>2026</v>
      </c>
      <c r="C662" s="121">
        <f>YEAR(Table6[[#This Row],[Date]])</f>
        <v>2025</v>
      </c>
      <c r="D662" s="121" t="s">
        <v>490</v>
      </c>
      <c r="E662" s="135">
        <f>Table6[[#This Row],[Date]]-DAY(Table6[[#This Row],[Date]])+1</f>
        <v>45778</v>
      </c>
      <c r="F662" s="134">
        <v>45808</v>
      </c>
      <c r="G662" s="121" t="s">
        <v>142</v>
      </c>
      <c r="H662" s="39" t="str">
        <f>_xlfn.XLOOKUP(Table6[[#This Row],[Affected WTG]],'Basic Data'!$A:$A,'Basic Data'!$B:$B)</f>
        <v>PWEGPL</v>
      </c>
      <c r="I662" s="39" t="str">
        <f>_xlfn.XLOOKUP(Table6[[#This Row],[Affected WTG]],'Basic Data'!$A:$A,'Basic Data'!$C:$C)</f>
        <v>MSEDCL</v>
      </c>
      <c r="J662" s="363">
        <f>IFERROR(VLOOKUP(Table6[[#This Row],[Affected WTG]],'Basic Data'!$A$3:$E$56,5,0),"")</f>
        <v>2.564102564102564E-2</v>
      </c>
      <c r="K662" s="121" t="s">
        <v>492</v>
      </c>
      <c r="L662" s="39" t="str">
        <f>IFERROR(VLOOKUP(Table6[[#This Row],[Error Code]],'Basic Data'!$T:$U,2,0),"")</f>
        <v>Manual Stop - Safety Related</v>
      </c>
      <c r="M662" s="364" t="s">
        <v>481</v>
      </c>
      <c r="O662" s="365">
        <v>0</v>
      </c>
      <c r="P662" s="365">
        <v>0.99930555555555556</v>
      </c>
      <c r="Q662" s="365">
        <v>0.99930555555555556</v>
      </c>
      <c r="R662" s="366">
        <f>IF(Table6[[#This Row],[Work Start TimeStamp]]="","",(Table6[[#This Row],[Work Start TimeStamp]]-Table6[[#This Row],[Fault Start TimeStamp]])*24)</f>
        <v>23.983333333333334</v>
      </c>
      <c r="S662" s="377">
        <f>(Table6[[#This Row],[Fault Clearance time]]-Table6[[#This Row],[Work Start TimeStamp]])*24</f>
        <v>0</v>
      </c>
      <c r="T662" s="378">
        <f>(Table6[[#This Row],[Fault Clearance time]]-Table6[[#This Row],[Fault Start TimeStamp]])*24</f>
        <v>23.983333333333334</v>
      </c>
      <c r="U662" s="364" t="s">
        <v>498</v>
      </c>
      <c r="V662" s="364" t="s">
        <v>473</v>
      </c>
      <c r="W662" s="354">
        <f>Table6[[#This Row],[Breakdown Time]]*(1/39)</f>
        <v>0.61495726495726499</v>
      </c>
      <c r="X662" s="352" t="s">
        <v>468</v>
      </c>
      <c r="Y662" s="364" t="s">
        <v>141</v>
      </c>
      <c r="Z662" s="121">
        <v>17189</v>
      </c>
      <c r="AA662" s="123">
        <v>17177.063194444447</v>
      </c>
      <c r="AB662" s="121" t="s">
        <v>478</v>
      </c>
    </row>
    <row r="663" spans="1:28">
      <c r="A663" s="121">
        <f t="shared" si="10"/>
        <v>662</v>
      </c>
      <c r="B663" s="123">
        <f>YEAR(Table6[[#This Row],[Date]])+IF(MONTH(Table6[[#This Row],[Date]])&gt;=4,1,0)</f>
        <v>2026</v>
      </c>
      <c r="C663" s="121">
        <f>YEAR(Table6[[#This Row],[Date]])</f>
        <v>2025</v>
      </c>
      <c r="D663" s="121" t="s">
        <v>490</v>
      </c>
      <c r="E663" s="135">
        <f>Table6[[#This Row],[Date]]-DAY(Table6[[#This Row],[Date]])+1</f>
        <v>45778</v>
      </c>
      <c r="F663" s="134">
        <v>45808</v>
      </c>
      <c r="G663" s="121" t="s">
        <v>126</v>
      </c>
      <c r="H663" s="39" t="str">
        <f>_xlfn.XLOOKUP(Table6[[#This Row],[Affected WTG]],'Basic Data'!$A:$A,'Basic Data'!$B:$B)</f>
        <v>PWEGPL</v>
      </c>
      <c r="I663" s="39" t="str">
        <f>_xlfn.XLOOKUP(Table6[[#This Row],[Affected WTG]],'Basic Data'!$A:$A,'Basic Data'!$C:$C)</f>
        <v>MSEDCL</v>
      </c>
      <c r="J663" s="363">
        <f>IFERROR(VLOOKUP(Table6[[#This Row],[Affected WTG]],'Basic Data'!$A$3:$E$56,5,0),"")</f>
        <v>2.564102564102564E-2</v>
      </c>
      <c r="K663" s="121" t="s">
        <v>476</v>
      </c>
      <c r="L663" s="39" t="str">
        <f>IFERROR(VLOOKUP(Table6[[#This Row],[Error Code]],'Basic Data'!$T:$U,2,0),"")</f>
        <v>Manual Stop - Preventive Maintenance Activity</v>
      </c>
      <c r="M663" s="364" t="s">
        <v>474</v>
      </c>
      <c r="O663" s="365">
        <v>0.46527777777777779</v>
      </c>
      <c r="P663" s="365">
        <v>0.46527777777777779</v>
      </c>
      <c r="Q663" s="365">
        <v>0.76111111111111107</v>
      </c>
      <c r="R663" s="366">
        <f>IF(Table6[[#This Row],[Work Start TimeStamp]]="","",(Table6[[#This Row],[Work Start TimeStamp]]-Table6[[#This Row],[Fault Start TimeStamp]])*24)</f>
        <v>0</v>
      </c>
      <c r="S663" s="367">
        <f>(Table6[[#This Row],[Fault Clearance time]]-Table6[[#This Row],[Work Start TimeStamp]])*24</f>
        <v>7.0999999999999988</v>
      </c>
      <c r="T663" s="368">
        <f>(Table6[[#This Row],[Fault Clearance time]]-Table6[[#This Row],[Fault Start TimeStamp]])*24</f>
        <v>7.0999999999999988</v>
      </c>
      <c r="U663" s="364" t="s">
        <v>582</v>
      </c>
      <c r="V663" s="364" t="s">
        <v>463</v>
      </c>
      <c r="W663" s="354">
        <f>Table6[[#This Row],[Breakdown Time]]*(1/39)</f>
        <v>0.18205128205128202</v>
      </c>
      <c r="X663" s="352" t="s">
        <v>467</v>
      </c>
      <c r="Y663" s="364" t="s">
        <v>127</v>
      </c>
      <c r="Z663" s="121">
        <v>26906</v>
      </c>
      <c r="AA663" s="123">
        <v>7959.6916666666648</v>
      </c>
      <c r="AB663" s="121" t="s">
        <v>478</v>
      </c>
    </row>
    <row r="664" spans="1:28">
      <c r="A664" s="121">
        <f t="shared" si="10"/>
        <v>663</v>
      </c>
      <c r="B664" s="123">
        <f>YEAR(Table6[[#This Row],[Date]])+IF(MONTH(Table6[[#This Row],[Date]])&gt;=4,1,0)</f>
        <v>2026</v>
      </c>
      <c r="C664" s="121">
        <f>YEAR(Table6[[#This Row],[Date]])</f>
        <v>2025</v>
      </c>
      <c r="D664" s="121" t="s">
        <v>490</v>
      </c>
      <c r="E664" s="135">
        <f>Table6[[#This Row],[Date]]-DAY(Table6[[#This Row],[Date]])+1</f>
        <v>45778</v>
      </c>
      <c r="F664" s="134">
        <v>45808</v>
      </c>
      <c r="G664" s="121" t="s">
        <v>119</v>
      </c>
      <c r="H664" s="39" t="str">
        <f>_xlfn.XLOOKUP(Table6[[#This Row],[Affected WTG]],'Basic Data'!$A:$A,'Basic Data'!$B:$B)</f>
        <v>PWEGPL</v>
      </c>
      <c r="I664" s="39" t="str">
        <f>_xlfn.XLOOKUP(Table6[[#This Row],[Affected WTG]],'Basic Data'!$A:$A,'Basic Data'!$C:$C)</f>
        <v>MSEDCL</v>
      </c>
      <c r="J664" s="363">
        <f>IFERROR(VLOOKUP(Table6[[#This Row],[Affected WTG]],'Basic Data'!$A$3:$E$56,5,0),"")</f>
        <v>2.564102564102564E-2</v>
      </c>
      <c r="K664" s="121">
        <v>2100</v>
      </c>
      <c r="L664" s="39" t="str">
        <f>IFERROR(VLOOKUP(Table6[[#This Row],[Error Code]],'Basic Data'!$T:$U,2,0),"")</f>
        <v>PLC Voltage Recovery</v>
      </c>
      <c r="M664" s="364" t="s">
        <v>462</v>
      </c>
      <c r="O664" s="365">
        <v>0.53125</v>
      </c>
      <c r="P664" s="365">
        <v>0.56944444444444442</v>
      </c>
      <c r="Q664" s="365">
        <v>0.5708333333333333</v>
      </c>
      <c r="R664" s="366">
        <f>IF(Table6[[#This Row],[Work Start TimeStamp]]="","",(Table6[[#This Row],[Work Start TimeStamp]]-Table6[[#This Row],[Fault Start TimeStamp]])*24)</f>
        <v>0.91666666666666607</v>
      </c>
      <c r="S664" s="377">
        <f>(Table6[[#This Row],[Fault Clearance time]]-Table6[[#This Row],[Work Start TimeStamp]])*24</f>
        <v>3.3333333333333215E-2</v>
      </c>
      <c r="T664" s="378">
        <f>(Table6[[#This Row],[Fault Clearance time]]-Table6[[#This Row],[Fault Start TimeStamp]])*24</f>
        <v>0.94999999999999929</v>
      </c>
      <c r="U664" s="364" t="s">
        <v>493</v>
      </c>
      <c r="V664" s="364" t="s">
        <v>463</v>
      </c>
      <c r="W664" s="354">
        <f>Table6[[#This Row],[Breakdown Time]]*(1/39)</f>
        <v>2.4358974358974338E-2</v>
      </c>
      <c r="X664" s="352" t="s">
        <v>465</v>
      </c>
      <c r="Y664" s="364" t="s">
        <v>136</v>
      </c>
      <c r="Z664" s="121">
        <v>17167</v>
      </c>
      <c r="AA664" s="123">
        <v>679.52708333333283</v>
      </c>
      <c r="AB664" s="121" t="s">
        <v>478</v>
      </c>
    </row>
    <row r="665" spans="1:28">
      <c r="A665" s="121">
        <f t="shared" si="10"/>
        <v>664</v>
      </c>
      <c r="B665" s="123">
        <f>YEAR(Table6[[#This Row],[Date]])+IF(MONTH(Table6[[#This Row],[Date]])&gt;=4,1,0)</f>
        <v>2026</v>
      </c>
      <c r="C665" s="121">
        <f>YEAR(Table6[[#This Row],[Date]])</f>
        <v>2025</v>
      </c>
      <c r="D665" s="121" t="s">
        <v>490</v>
      </c>
      <c r="E665" s="135">
        <f>Table6[[#This Row],[Date]]-DAY(Table6[[#This Row],[Date]])+1</f>
        <v>45778</v>
      </c>
      <c r="F665" s="134">
        <v>45808</v>
      </c>
      <c r="G665" s="121" t="s">
        <v>135</v>
      </c>
      <c r="H665" s="39" t="str">
        <f>_xlfn.XLOOKUP(Table6[[#This Row],[Affected WTG]],'Basic Data'!$A:$A,'Basic Data'!$B:$B)</f>
        <v>PWEGPL</v>
      </c>
      <c r="I665" s="39" t="str">
        <f>_xlfn.XLOOKUP(Table6[[#This Row],[Affected WTG]],'Basic Data'!$A:$A,'Basic Data'!$C:$C)</f>
        <v>MSEDCL</v>
      </c>
      <c r="J665" s="363">
        <f>IFERROR(VLOOKUP(Table6[[#This Row],[Affected WTG]],'Basic Data'!$A$3:$E$56,5,0),"")</f>
        <v>2.564102564102564E-2</v>
      </c>
      <c r="K665" s="121">
        <v>5219</v>
      </c>
      <c r="L665" s="39" t="str">
        <f>IFERROR(VLOOKUP(Table6[[#This Row],[Error Code]],'Basic Data'!$T:$U,2,0),"")</f>
        <v>Coolant Of The Coolant Circuit Failure</v>
      </c>
      <c r="M665" s="364" t="s">
        <v>462</v>
      </c>
      <c r="O665" s="365">
        <v>0.53125</v>
      </c>
      <c r="P665" s="365">
        <v>0.54166666666666663</v>
      </c>
      <c r="Q665" s="365">
        <v>0.59722222222222221</v>
      </c>
      <c r="R665" s="366">
        <f>IF(Table6[[#This Row],[Work Start TimeStamp]]="","",(Table6[[#This Row],[Work Start TimeStamp]]-Table6[[#This Row],[Fault Start TimeStamp]])*24)</f>
        <v>0.24999999999999911</v>
      </c>
      <c r="S665" s="377">
        <f>(Table6[[#This Row],[Fault Clearance time]]-Table6[[#This Row],[Work Start TimeStamp]])*24</f>
        <v>1.3333333333333339</v>
      </c>
      <c r="T665" s="378">
        <f>(Table6[[#This Row],[Fault Clearance time]]-Table6[[#This Row],[Fault Start TimeStamp]])*24</f>
        <v>1.583333333333333</v>
      </c>
      <c r="U665" s="364" t="s">
        <v>511</v>
      </c>
      <c r="V665" s="364" t="s">
        <v>463</v>
      </c>
      <c r="W665" s="354">
        <f>Table6[[#This Row],[Breakdown Time]]*(1/39)</f>
        <v>4.0598290598290586E-2</v>
      </c>
      <c r="X665" s="352" t="s">
        <v>465</v>
      </c>
      <c r="Y665" s="364" t="s">
        <v>136</v>
      </c>
      <c r="Z665" s="121">
        <v>17167</v>
      </c>
      <c r="AA665" s="123">
        <v>1132.5451388888887</v>
      </c>
      <c r="AB665" s="121" t="s">
        <v>478</v>
      </c>
    </row>
    <row r="666" spans="1:28">
      <c r="A666" s="121">
        <f t="shared" si="10"/>
        <v>665</v>
      </c>
      <c r="B666" s="123">
        <f>YEAR(Table6[[#This Row],[Date]])+IF(MONTH(Table6[[#This Row],[Date]])&gt;=4,1,0)</f>
        <v>2026</v>
      </c>
      <c r="C666" s="121">
        <f>YEAR(Table6[[#This Row],[Date]])</f>
        <v>2025</v>
      </c>
      <c r="D666" s="121" t="s">
        <v>490</v>
      </c>
      <c r="E666" s="135">
        <f>Table6[[#This Row],[Date]]-DAY(Table6[[#This Row],[Date]])+1</f>
        <v>45778</v>
      </c>
      <c r="F666" s="134">
        <v>45808</v>
      </c>
      <c r="G666" s="121" t="s">
        <v>136</v>
      </c>
      <c r="H666" s="39" t="str">
        <f>_xlfn.XLOOKUP(Table6[[#This Row],[Affected WTG]],'Basic Data'!$A:$A,'Basic Data'!$B:$B)</f>
        <v>PWEGPL</v>
      </c>
      <c r="I666" s="39" t="str">
        <f>_xlfn.XLOOKUP(Table6[[#This Row],[Affected WTG]],'Basic Data'!$A:$A,'Basic Data'!$C:$C)</f>
        <v>MSEDCL</v>
      </c>
      <c r="J666" s="363">
        <f>IFERROR(VLOOKUP(Table6[[#This Row],[Affected WTG]],'Basic Data'!$A$3:$E$56,5,0),"")</f>
        <v>2.564102564102564E-2</v>
      </c>
      <c r="K666" s="121">
        <v>2100</v>
      </c>
      <c r="L666" s="39" t="str">
        <f>IFERROR(VLOOKUP(Table6[[#This Row],[Error Code]],'Basic Data'!$T:$U,2,0),"")</f>
        <v>PLC Voltage Recovery</v>
      </c>
      <c r="M666" s="364" t="s">
        <v>462</v>
      </c>
      <c r="O666" s="365">
        <v>0.53125</v>
      </c>
      <c r="P666" s="365">
        <v>0.54861111111111116</v>
      </c>
      <c r="Q666" s="365">
        <v>0.55000000000000004</v>
      </c>
      <c r="R666" s="366">
        <f>IF(Table6[[#This Row],[Work Start TimeStamp]]="","",(Table6[[#This Row],[Work Start TimeStamp]]-Table6[[#This Row],[Fault Start TimeStamp]])*24)</f>
        <v>0.41666666666666785</v>
      </c>
      <c r="S666" s="377">
        <f>(Table6[[#This Row],[Fault Clearance time]]-Table6[[#This Row],[Work Start TimeStamp]])*24</f>
        <v>3.3333333333333215E-2</v>
      </c>
      <c r="T666" s="378">
        <f>(Table6[[#This Row],[Fault Clearance time]]-Table6[[#This Row],[Fault Start TimeStamp]])*24</f>
        <v>0.45000000000000107</v>
      </c>
      <c r="U666" s="364" t="s">
        <v>493</v>
      </c>
      <c r="V666" s="364" t="s">
        <v>463</v>
      </c>
      <c r="W666" s="354">
        <f>Table6[[#This Row],[Breakdown Time]]*(1/39)</f>
        <v>1.1538461538461565E-2</v>
      </c>
      <c r="X666" s="352" t="s">
        <v>465</v>
      </c>
      <c r="Y666" s="364" t="s">
        <v>135</v>
      </c>
      <c r="Z666" s="121">
        <v>17115</v>
      </c>
      <c r="AA666" s="123">
        <v>320.90625000000074</v>
      </c>
      <c r="AB666" s="121" t="s">
        <v>478</v>
      </c>
    </row>
    <row r="667" spans="1:28">
      <c r="A667" s="121">
        <f t="shared" si="10"/>
        <v>666</v>
      </c>
      <c r="B667" s="123">
        <f>YEAR(Table6[[#This Row],[Date]])+IF(MONTH(Table6[[#This Row],[Date]])&gt;=4,1,0)</f>
        <v>2026</v>
      </c>
      <c r="C667" s="121">
        <f>YEAR(Table6[[#This Row],[Date]])</f>
        <v>2025</v>
      </c>
      <c r="D667" s="121" t="s">
        <v>490</v>
      </c>
      <c r="E667" s="135">
        <f>Table6[[#This Row],[Date]]-DAY(Table6[[#This Row],[Date]])+1</f>
        <v>45778</v>
      </c>
      <c r="F667" s="134">
        <v>45808</v>
      </c>
      <c r="G667" s="121" t="s">
        <v>137</v>
      </c>
      <c r="H667" s="39" t="str">
        <f>_xlfn.XLOOKUP(Table6[[#This Row],[Affected WTG]],'Basic Data'!$A:$A,'Basic Data'!$B:$B)</f>
        <v>PWEGPL</v>
      </c>
      <c r="I667" s="39" t="str">
        <f>_xlfn.XLOOKUP(Table6[[#This Row],[Affected WTG]],'Basic Data'!$A:$A,'Basic Data'!$C:$C)</f>
        <v>MSEDCL</v>
      </c>
      <c r="J667" s="363">
        <f>IFERROR(VLOOKUP(Table6[[#This Row],[Affected WTG]],'Basic Data'!$A$3:$E$56,5,0),"")</f>
        <v>2.564102564102564E-2</v>
      </c>
      <c r="K667" s="121">
        <v>2100</v>
      </c>
      <c r="L667" s="39" t="str">
        <f>IFERROR(VLOOKUP(Table6[[#This Row],[Error Code]],'Basic Data'!$T:$U,2,0),"")</f>
        <v>PLC Voltage Recovery</v>
      </c>
      <c r="M667" s="364" t="s">
        <v>462</v>
      </c>
      <c r="O667" s="365">
        <v>0.53125</v>
      </c>
      <c r="P667" s="365">
        <v>0.5625</v>
      </c>
      <c r="Q667" s="365">
        <v>0.56388888888888888</v>
      </c>
      <c r="R667" s="366">
        <f>IF(Table6[[#This Row],[Work Start TimeStamp]]="","",(Table6[[#This Row],[Work Start TimeStamp]]-Table6[[#This Row],[Fault Start TimeStamp]])*24)</f>
        <v>0.75</v>
      </c>
      <c r="S667" s="377">
        <f>(Table6[[#This Row],[Fault Clearance time]]-Table6[[#This Row],[Work Start TimeStamp]])*24</f>
        <v>3.3333333333333215E-2</v>
      </c>
      <c r="T667" s="378">
        <f>(Table6[[#This Row],[Fault Clearance time]]-Table6[[#This Row],[Fault Start TimeStamp]])*24</f>
        <v>0.78333333333333321</v>
      </c>
      <c r="U667" s="364" t="s">
        <v>493</v>
      </c>
      <c r="V667" s="364" t="s">
        <v>463</v>
      </c>
      <c r="W667" s="354">
        <f>Table6[[#This Row],[Breakdown Time]]*(1/39)</f>
        <v>2.008547008547008E-2</v>
      </c>
      <c r="X667" s="352" t="s">
        <v>465</v>
      </c>
      <c r="Y667" s="364" t="s">
        <v>119</v>
      </c>
      <c r="Z667" s="121">
        <v>17106</v>
      </c>
      <c r="AA667" s="123">
        <v>558.32083333333321</v>
      </c>
      <c r="AB667" s="121" t="s">
        <v>478</v>
      </c>
    </row>
    <row r="668" spans="1:28">
      <c r="A668" s="121">
        <f t="shared" si="10"/>
        <v>667</v>
      </c>
      <c r="B668" s="123">
        <f>YEAR(Table6[[#This Row],[Date]])+IF(MONTH(Table6[[#This Row],[Date]])&gt;=4,1,0)</f>
        <v>2026</v>
      </c>
      <c r="C668" s="121">
        <f>YEAR(Table6[[#This Row],[Date]])</f>
        <v>2025</v>
      </c>
      <c r="D668" s="121" t="s">
        <v>490</v>
      </c>
      <c r="E668" s="135">
        <f>Table6[[#This Row],[Date]]-DAY(Table6[[#This Row],[Date]])+1</f>
        <v>45778</v>
      </c>
      <c r="F668" s="134">
        <v>45808</v>
      </c>
      <c r="G668" s="121" t="s">
        <v>138</v>
      </c>
      <c r="H668" s="39" t="str">
        <f>_xlfn.XLOOKUP(Table6[[#This Row],[Affected WTG]],'Basic Data'!$A:$A,'Basic Data'!$B:$B)</f>
        <v>PWEGPL</v>
      </c>
      <c r="I668" s="39" t="str">
        <f>_xlfn.XLOOKUP(Table6[[#This Row],[Affected WTG]],'Basic Data'!$A:$A,'Basic Data'!$C:$C)</f>
        <v>MSEDCL</v>
      </c>
      <c r="J668" s="363">
        <f>IFERROR(VLOOKUP(Table6[[#This Row],[Affected WTG]],'Basic Data'!$A$3:$E$56,5,0),"")</f>
        <v>2.564102564102564E-2</v>
      </c>
      <c r="K668" s="121">
        <v>5203</v>
      </c>
      <c r="L668" s="39" t="str">
        <f>IFERROR(VLOOKUP(Table6[[#This Row],[Error Code]],'Basic Data'!$T:$U,2,0),"")</f>
        <v>Heating/Coolant Thermal Magnetic Failure</v>
      </c>
      <c r="M668" s="364" t="s">
        <v>462</v>
      </c>
      <c r="O668" s="365">
        <v>0.1875</v>
      </c>
      <c r="P668" s="365">
        <v>0.22222222222222221</v>
      </c>
      <c r="Q668" s="365">
        <v>0.22361111111111112</v>
      </c>
      <c r="R668" s="366">
        <f>IF(Table6[[#This Row],[Work Start TimeStamp]]="","",(Table6[[#This Row],[Work Start TimeStamp]]-Table6[[#This Row],[Fault Start TimeStamp]])*24)</f>
        <v>0.83333333333333304</v>
      </c>
      <c r="S668" s="377">
        <f>(Table6[[#This Row],[Fault Clearance time]]-Table6[[#This Row],[Work Start TimeStamp]])*24</f>
        <v>3.3333333333333881E-2</v>
      </c>
      <c r="T668" s="378">
        <f>(Table6[[#This Row],[Fault Clearance time]]-Table6[[#This Row],[Fault Start TimeStamp]])*24</f>
        <v>0.86666666666666692</v>
      </c>
      <c r="U668" s="364" t="s">
        <v>493</v>
      </c>
      <c r="V668" s="364" t="s">
        <v>463</v>
      </c>
      <c r="W668" s="354">
        <f>Table6[[#This Row],[Breakdown Time]]*(1/39)</f>
        <v>2.2222222222222227E-2</v>
      </c>
      <c r="X668" s="352" t="s">
        <v>465</v>
      </c>
      <c r="Y668" s="364" t="s">
        <v>140</v>
      </c>
      <c r="Z668" s="121">
        <v>17190</v>
      </c>
      <c r="AA668" s="123">
        <v>620.75000000000023</v>
      </c>
      <c r="AB668" s="121" t="s">
        <v>478</v>
      </c>
    </row>
    <row r="669" spans="1:28">
      <c r="A669" s="121">
        <f t="shared" si="10"/>
        <v>668</v>
      </c>
      <c r="B669" s="123">
        <f>YEAR(Table6[[#This Row],[Date]])+IF(MONTH(Table6[[#This Row],[Date]])&gt;=4,1,0)</f>
        <v>2026</v>
      </c>
      <c r="C669" s="121">
        <f>YEAR(Table6[[#This Row],[Date]])</f>
        <v>2025</v>
      </c>
      <c r="D669" s="121" t="s">
        <v>490</v>
      </c>
      <c r="E669" s="135">
        <f>Table6[[#This Row],[Date]]-DAY(Table6[[#This Row],[Date]])+1</f>
        <v>45778</v>
      </c>
      <c r="F669" s="134">
        <v>45808</v>
      </c>
      <c r="G669" s="121" t="s">
        <v>138</v>
      </c>
      <c r="H669" s="39" t="str">
        <f>_xlfn.XLOOKUP(Table6[[#This Row],[Affected WTG]],'Basic Data'!$A:$A,'Basic Data'!$B:$B)</f>
        <v>PWEGPL</v>
      </c>
      <c r="I669" s="39" t="str">
        <f>_xlfn.XLOOKUP(Table6[[#This Row],[Affected WTG]],'Basic Data'!$A:$A,'Basic Data'!$C:$C)</f>
        <v>MSEDCL</v>
      </c>
      <c r="J669" s="363">
        <f>IFERROR(VLOOKUP(Table6[[#This Row],[Affected WTG]],'Basic Data'!$A$3:$E$56,5,0),"")</f>
        <v>2.564102564102564E-2</v>
      </c>
      <c r="K669" s="121">
        <v>5203</v>
      </c>
      <c r="L669" s="39" t="str">
        <f>IFERROR(VLOOKUP(Table6[[#This Row],[Error Code]],'Basic Data'!$T:$U,2,0),"")</f>
        <v>Heating/Coolant Thermal Magnetic Failure</v>
      </c>
      <c r="M669" s="364" t="s">
        <v>462</v>
      </c>
      <c r="O669" s="365">
        <v>0.40763888888888888</v>
      </c>
      <c r="P669" s="365">
        <v>0.48888888888888887</v>
      </c>
      <c r="Q669" s="365">
        <v>0.61111111111111116</v>
      </c>
      <c r="R669" s="366">
        <f>IF(Table6[[#This Row],[Work Start TimeStamp]]="","",(Table6[[#This Row],[Work Start TimeStamp]]-Table6[[#This Row],[Fault Start TimeStamp]])*24)</f>
        <v>1.9499999999999997</v>
      </c>
      <c r="S669" s="377">
        <f>(Table6[[#This Row],[Fault Clearance time]]-Table6[[#This Row],[Work Start TimeStamp]])*24</f>
        <v>2.9333333333333349</v>
      </c>
      <c r="T669" s="378">
        <f>(Table6[[#This Row],[Fault Clearance time]]-Table6[[#This Row],[Fault Start TimeStamp]])*24</f>
        <v>4.8833333333333346</v>
      </c>
      <c r="U669" s="364" t="s">
        <v>1198</v>
      </c>
      <c r="V669" s="364" t="s">
        <v>463</v>
      </c>
      <c r="W669" s="354">
        <f>Table6[[#This Row],[Breakdown Time]]*(1/39)</f>
        <v>0.12521367521367524</v>
      </c>
      <c r="X669" s="352" t="s">
        <v>465</v>
      </c>
      <c r="Y669" s="364" t="s">
        <v>140</v>
      </c>
      <c r="Z669" s="121">
        <v>17190</v>
      </c>
      <c r="AA669" s="123">
        <v>3497.6875000000009</v>
      </c>
      <c r="AB669" s="121" t="s">
        <v>478</v>
      </c>
    </row>
    <row r="670" spans="1:28">
      <c r="A670" s="121">
        <f t="shared" si="10"/>
        <v>669</v>
      </c>
      <c r="B670" s="123">
        <f>YEAR(Table6[[#This Row],[Date]])+IF(MONTH(Table6[[#This Row],[Date]])&gt;=4,1,0)</f>
        <v>2026</v>
      </c>
      <c r="C670" s="121">
        <f>YEAR(Table6[[#This Row],[Date]])</f>
        <v>2025</v>
      </c>
      <c r="D670" s="121" t="s">
        <v>490</v>
      </c>
      <c r="E670" s="135">
        <f>Table6[[#This Row],[Date]]-DAY(Table6[[#This Row],[Date]])+1</f>
        <v>45778</v>
      </c>
      <c r="F670" s="134">
        <v>45808</v>
      </c>
      <c r="G670" s="121" t="s">
        <v>139</v>
      </c>
      <c r="H670" s="39" t="str">
        <f>_xlfn.XLOOKUP(Table6[[#This Row],[Affected WTG]],'Basic Data'!$A:$A,'Basic Data'!$B:$B)</f>
        <v>PWEGPL</v>
      </c>
      <c r="I670" s="39" t="str">
        <f>_xlfn.XLOOKUP(Table6[[#This Row],[Affected WTG]],'Basic Data'!$A:$A,'Basic Data'!$C:$C)</f>
        <v>MSEDCL</v>
      </c>
      <c r="J670" s="363">
        <f>IFERROR(VLOOKUP(Table6[[#This Row],[Affected WTG]],'Basic Data'!$A$3:$E$56,5,0),"")</f>
        <v>2.564102564102564E-2</v>
      </c>
      <c r="K670" s="121">
        <v>2118</v>
      </c>
      <c r="L670" s="39" t="str">
        <f>IFERROR(VLOOKUP(Table6[[#This Row],[Error Code]],'Basic Data'!$T:$U,2,0),"")</f>
        <v>Bus Error - Interbus Failure</v>
      </c>
      <c r="M670" s="364" t="s">
        <v>462</v>
      </c>
      <c r="O670" s="365">
        <v>0.3611111111111111</v>
      </c>
      <c r="P670" s="365">
        <v>0.39027777777777778</v>
      </c>
      <c r="Q670" s="365">
        <v>0.56597222222222221</v>
      </c>
      <c r="R670" s="366">
        <f>IF(Table6[[#This Row],[Work Start TimeStamp]]="","",(Table6[[#This Row],[Work Start TimeStamp]]-Table6[[#This Row],[Fault Start TimeStamp]])*24)</f>
        <v>0.70000000000000018</v>
      </c>
      <c r="S670" s="377">
        <f>(Table6[[#This Row],[Fault Clearance time]]-Table6[[#This Row],[Work Start TimeStamp]])*24</f>
        <v>4.2166666666666668</v>
      </c>
      <c r="T670" s="378">
        <f>(Table6[[#This Row],[Fault Clearance time]]-Table6[[#This Row],[Fault Start TimeStamp]])*24</f>
        <v>4.9166666666666661</v>
      </c>
      <c r="U670" s="364" t="s">
        <v>489</v>
      </c>
      <c r="V670" s="364" t="s">
        <v>463</v>
      </c>
      <c r="W670" s="354">
        <f>Table6[[#This Row],[Breakdown Time]]*(1/39)</f>
        <v>0.12606837606837604</v>
      </c>
      <c r="X670" s="352" t="s">
        <v>465</v>
      </c>
      <c r="Y670" s="364" t="s">
        <v>145</v>
      </c>
      <c r="Z670" s="121">
        <v>17851</v>
      </c>
      <c r="AA670" s="123">
        <v>3656.9756944444439</v>
      </c>
      <c r="AB670" s="121" t="s">
        <v>478</v>
      </c>
    </row>
    <row r="671" spans="1:28">
      <c r="A671" s="121">
        <f t="shared" si="10"/>
        <v>670</v>
      </c>
      <c r="B671" s="123">
        <f>YEAR(Table6[[#This Row],[Date]])+IF(MONTH(Table6[[#This Row],[Date]])&gt;=4,1,0)</f>
        <v>2026</v>
      </c>
      <c r="C671" s="121">
        <f>YEAR(Table6[[#This Row],[Date]])</f>
        <v>2025</v>
      </c>
      <c r="D671" s="121" t="s">
        <v>490</v>
      </c>
      <c r="E671" s="135">
        <f>Table6[[#This Row],[Date]]-DAY(Table6[[#This Row],[Date]])+1</f>
        <v>45778</v>
      </c>
      <c r="F671" s="134">
        <v>45808</v>
      </c>
      <c r="G671" s="121" t="s">
        <v>139</v>
      </c>
      <c r="H671" s="39" t="str">
        <f>_xlfn.XLOOKUP(Table6[[#This Row],[Affected WTG]],'Basic Data'!$A:$A,'Basic Data'!$B:$B)</f>
        <v>PWEGPL</v>
      </c>
      <c r="I671" s="39" t="str">
        <f>_xlfn.XLOOKUP(Table6[[#This Row],[Affected WTG]],'Basic Data'!$A:$A,'Basic Data'!$C:$C)</f>
        <v>MSEDCL</v>
      </c>
      <c r="J671" s="363">
        <f>IFERROR(VLOOKUP(Table6[[#This Row],[Affected WTG]],'Basic Data'!$A$3:$E$56,5,0),"")</f>
        <v>2.564102564102564E-2</v>
      </c>
      <c r="K671" s="121">
        <v>2118</v>
      </c>
      <c r="L671" s="39" t="str">
        <f>IFERROR(VLOOKUP(Table6[[#This Row],[Error Code]],'Basic Data'!$T:$U,2,0),"")</f>
        <v>Bus Error - Interbus Failure</v>
      </c>
      <c r="M671" s="364" t="s">
        <v>462</v>
      </c>
      <c r="O671" s="365">
        <v>0.60069444444444442</v>
      </c>
      <c r="P671" s="365">
        <v>0.60763888888888884</v>
      </c>
      <c r="Q671" s="365">
        <v>0.68055555555555558</v>
      </c>
      <c r="R671" s="366">
        <f>IF(Table6[[#This Row],[Work Start TimeStamp]]="","",(Table6[[#This Row],[Work Start TimeStamp]]-Table6[[#This Row],[Fault Start TimeStamp]])*24)</f>
        <v>0.16666666666666607</v>
      </c>
      <c r="S671" s="377">
        <f>(Table6[[#This Row],[Fault Clearance time]]-Table6[[#This Row],[Work Start TimeStamp]])*24</f>
        <v>1.7500000000000018</v>
      </c>
      <c r="T671" s="378">
        <f>(Table6[[#This Row],[Fault Clearance time]]-Table6[[#This Row],[Fault Start TimeStamp]])*24</f>
        <v>1.9166666666666679</v>
      </c>
      <c r="U671" s="364" t="s">
        <v>1199</v>
      </c>
      <c r="V671" s="364" t="s">
        <v>463</v>
      </c>
      <c r="W671" s="354">
        <f>Table6[[#This Row],[Breakdown Time]]*(1/39)</f>
        <v>4.9145299145299172E-2</v>
      </c>
      <c r="X671" s="352" t="s">
        <v>465</v>
      </c>
      <c r="Y671" s="364" t="s">
        <v>145</v>
      </c>
      <c r="Z671" s="121">
        <v>17851</v>
      </c>
      <c r="AA671" s="123">
        <v>1425.6006944444453</v>
      </c>
      <c r="AB671" s="121" t="s">
        <v>478</v>
      </c>
    </row>
    <row r="672" spans="1:28">
      <c r="A672" s="121">
        <f t="shared" si="10"/>
        <v>671</v>
      </c>
      <c r="B672" s="123">
        <f>YEAR(Table6[[#This Row],[Date]])+IF(MONTH(Table6[[#This Row],[Date]])&gt;=4,1,0)</f>
        <v>2026</v>
      </c>
      <c r="C672" s="121">
        <f>YEAR(Table6[[#This Row],[Date]])</f>
        <v>2025</v>
      </c>
      <c r="D672" s="121" t="s">
        <v>490</v>
      </c>
      <c r="E672" s="135">
        <f>Table6[[#This Row],[Date]]-DAY(Table6[[#This Row],[Date]])+1</f>
        <v>45778</v>
      </c>
      <c r="F672" s="134">
        <v>45808</v>
      </c>
      <c r="G672" s="121" t="s">
        <v>139</v>
      </c>
      <c r="H672" s="39" t="str">
        <f>_xlfn.XLOOKUP(Table6[[#This Row],[Affected WTG]],'Basic Data'!$A:$A,'Basic Data'!$B:$B)</f>
        <v>PWEGPL</v>
      </c>
      <c r="I672" s="39" t="str">
        <f>_xlfn.XLOOKUP(Table6[[#This Row],[Affected WTG]],'Basic Data'!$A:$A,'Basic Data'!$C:$C)</f>
        <v>MSEDCL</v>
      </c>
      <c r="J672" s="363">
        <f>IFERROR(VLOOKUP(Table6[[#This Row],[Affected WTG]],'Basic Data'!$A$3:$E$56,5,0),"")</f>
        <v>2.564102564102564E-2</v>
      </c>
      <c r="K672" s="121">
        <v>2118</v>
      </c>
      <c r="L672" s="39" t="str">
        <f>IFERROR(VLOOKUP(Table6[[#This Row],[Error Code]],'Basic Data'!$T:$U,2,0),"")</f>
        <v>Bus Error - Interbus Failure</v>
      </c>
      <c r="M672" s="364" t="s">
        <v>462</v>
      </c>
      <c r="O672" s="365">
        <v>0.70902777777777781</v>
      </c>
      <c r="P672" s="365">
        <v>0.70902777777777781</v>
      </c>
      <c r="Q672" s="365">
        <v>0.8125</v>
      </c>
      <c r="R672" s="366">
        <f>IF(Table6[[#This Row],[Work Start TimeStamp]]="","",(Table6[[#This Row],[Work Start TimeStamp]]-Table6[[#This Row],[Fault Start TimeStamp]])*24)</f>
        <v>0</v>
      </c>
      <c r="S672" s="377">
        <f>(Table6[[#This Row],[Fault Clearance time]]-Table6[[#This Row],[Work Start TimeStamp]])*24</f>
        <v>2.4833333333333325</v>
      </c>
      <c r="T672" s="378">
        <f>(Table6[[#This Row],[Fault Clearance time]]-Table6[[#This Row],[Fault Start TimeStamp]])*24</f>
        <v>2.4833333333333325</v>
      </c>
      <c r="U672" s="364" t="s">
        <v>1200</v>
      </c>
      <c r="V672" s="364" t="s">
        <v>463</v>
      </c>
      <c r="W672" s="354">
        <f>Table6[[#This Row],[Breakdown Time]]*(1/39)</f>
        <v>6.3675213675213657E-2</v>
      </c>
      <c r="X672" s="352" t="s">
        <v>465</v>
      </c>
      <c r="Y672" s="364" t="s">
        <v>145</v>
      </c>
      <c r="Z672" s="121">
        <v>17851</v>
      </c>
      <c r="AA672" s="123">
        <v>1847.0826388888881</v>
      </c>
      <c r="AB672" s="121" t="s">
        <v>478</v>
      </c>
    </row>
    <row r="673" spans="1:28">
      <c r="A673" s="121">
        <f t="shared" si="10"/>
        <v>672</v>
      </c>
      <c r="B673" s="123">
        <f>YEAR(Table6[[#This Row],[Date]])+IF(MONTH(Table6[[#This Row],[Date]])&gt;=4,1,0)</f>
        <v>2026</v>
      </c>
      <c r="C673" s="121">
        <f>YEAR(Table6[[#This Row],[Date]])</f>
        <v>2025</v>
      </c>
      <c r="D673" s="121" t="s">
        <v>490</v>
      </c>
      <c r="E673" s="135">
        <f>Table6[[#This Row],[Date]]-DAY(Table6[[#This Row],[Date]])+1</f>
        <v>45778</v>
      </c>
      <c r="F673" s="134">
        <v>45808</v>
      </c>
      <c r="G673" s="121" t="s">
        <v>140</v>
      </c>
      <c r="H673" s="39" t="str">
        <f>_xlfn.XLOOKUP(Table6[[#This Row],[Affected WTG]],'Basic Data'!$A:$A,'Basic Data'!$B:$B)</f>
        <v>PWEGPL</v>
      </c>
      <c r="I673" s="39" t="str">
        <f>_xlfn.XLOOKUP(Table6[[#This Row],[Affected WTG]],'Basic Data'!$A:$A,'Basic Data'!$C:$C)</f>
        <v>MSEDCL</v>
      </c>
      <c r="J673" s="363">
        <f>IFERROR(VLOOKUP(Table6[[#This Row],[Affected WTG]],'Basic Data'!$A$3:$E$56,5,0),"")</f>
        <v>2.564102564102564E-2</v>
      </c>
      <c r="K673" s="121">
        <v>222</v>
      </c>
      <c r="L673" s="39" t="str">
        <f>IFERROR(VLOOKUP(Table6[[#This Row],[Error Code]],'Basic Data'!$T:$U,2,0),"")</f>
        <v>Very Low Pressure On Hydraulic Unit</v>
      </c>
      <c r="M673" s="364" t="s">
        <v>462</v>
      </c>
      <c r="O673" s="365">
        <v>0.48472222222222222</v>
      </c>
      <c r="P673" s="365">
        <v>0.50347222222222221</v>
      </c>
      <c r="Q673" s="365">
        <v>0.50416666666666665</v>
      </c>
      <c r="R673" s="366">
        <f>IF(Table6[[#This Row],[Work Start TimeStamp]]="","",(Table6[[#This Row],[Work Start TimeStamp]]-Table6[[#This Row],[Fault Start TimeStamp]])*24)</f>
        <v>0.44999999999999973</v>
      </c>
      <c r="S673" s="377">
        <f>(Table6[[#This Row],[Fault Clearance time]]-Table6[[#This Row],[Work Start TimeStamp]])*24</f>
        <v>1.6666666666666607E-2</v>
      </c>
      <c r="T673" s="378">
        <f>(Table6[[#This Row],[Fault Clearance time]]-Table6[[#This Row],[Fault Start TimeStamp]])*24</f>
        <v>0.46666666666666634</v>
      </c>
      <c r="U673" s="364" t="s">
        <v>493</v>
      </c>
      <c r="V673" s="364" t="s">
        <v>463</v>
      </c>
      <c r="W673" s="354">
        <f>Table6[[#This Row],[Breakdown Time]]*(1/39)</f>
        <v>1.1965811965811956E-2</v>
      </c>
      <c r="X673" s="352" t="s">
        <v>465</v>
      </c>
      <c r="Y673" s="364" t="s">
        <v>138</v>
      </c>
      <c r="Z673" s="121">
        <v>15901</v>
      </c>
      <c r="AA673" s="123">
        <v>309.1861111111109</v>
      </c>
      <c r="AB673" s="121" t="s">
        <v>478</v>
      </c>
    </row>
    <row r="674" spans="1:28">
      <c r="A674" s="121">
        <f t="shared" si="10"/>
        <v>673</v>
      </c>
      <c r="B674" s="123">
        <f>YEAR(Table6[[#This Row],[Date]])+IF(MONTH(Table6[[#This Row],[Date]])&gt;=4,1,0)</f>
        <v>2026</v>
      </c>
      <c r="C674" s="121">
        <f>YEAR(Table6[[#This Row],[Date]])</f>
        <v>2025</v>
      </c>
      <c r="D674" s="121" t="s">
        <v>490</v>
      </c>
      <c r="E674" s="135">
        <f>Table6[[#This Row],[Date]]-DAY(Table6[[#This Row],[Date]])+1</f>
        <v>45778</v>
      </c>
      <c r="F674" s="134">
        <v>45808</v>
      </c>
      <c r="G674" s="121" t="s">
        <v>141</v>
      </c>
      <c r="H674" s="39" t="str">
        <f>_xlfn.XLOOKUP(Table6[[#This Row],[Affected WTG]],'Basic Data'!$A:$A,'Basic Data'!$B:$B)</f>
        <v>PWEGPL</v>
      </c>
      <c r="I674" s="39" t="str">
        <f>_xlfn.XLOOKUP(Table6[[#This Row],[Affected WTG]],'Basic Data'!$A:$A,'Basic Data'!$C:$C)</f>
        <v>MSEDCL</v>
      </c>
      <c r="J674" s="363">
        <f>IFERROR(VLOOKUP(Table6[[#This Row],[Affected WTG]],'Basic Data'!$A$3:$E$56,5,0),"")</f>
        <v>2.564102564102564E-2</v>
      </c>
      <c r="K674" s="121">
        <v>222</v>
      </c>
      <c r="L674" s="39" t="str">
        <f>IFERROR(VLOOKUP(Table6[[#This Row],[Error Code]],'Basic Data'!$T:$U,2,0),"")</f>
        <v>Very Low Pressure On Hydraulic Unit</v>
      </c>
      <c r="M674" s="364" t="s">
        <v>462</v>
      </c>
      <c r="O674" s="365">
        <v>0.48472222222222222</v>
      </c>
      <c r="P674" s="365">
        <v>0.52083333333333337</v>
      </c>
      <c r="Q674" s="365">
        <v>0.52152777777777781</v>
      </c>
      <c r="R674" s="366">
        <f>IF(Table6[[#This Row],[Work Start TimeStamp]]="","",(Table6[[#This Row],[Work Start TimeStamp]]-Table6[[#This Row],[Fault Start TimeStamp]])*24)</f>
        <v>0.86666666666666758</v>
      </c>
      <c r="S674" s="377">
        <f>(Table6[[#This Row],[Fault Clearance time]]-Table6[[#This Row],[Work Start TimeStamp]])*24</f>
        <v>1.6666666666666607E-2</v>
      </c>
      <c r="T674" s="378">
        <f>(Table6[[#This Row],[Fault Clearance time]]-Table6[[#This Row],[Fault Start TimeStamp]])*24</f>
        <v>0.88333333333333419</v>
      </c>
      <c r="U674" s="364" t="s">
        <v>493</v>
      </c>
      <c r="V674" s="364" t="s">
        <v>463</v>
      </c>
      <c r="W674" s="354">
        <f>Table6[[#This Row],[Breakdown Time]]*(1/39)</f>
        <v>2.264957264957267E-2</v>
      </c>
      <c r="X674" s="352" t="s">
        <v>465</v>
      </c>
      <c r="Y674" s="364" t="s">
        <v>143</v>
      </c>
      <c r="Z674" s="121">
        <v>17192</v>
      </c>
      <c r="AA674" s="123">
        <v>632.76111111111175</v>
      </c>
      <c r="AB674" s="121" t="s">
        <v>478</v>
      </c>
    </row>
    <row r="675" spans="1:28">
      <c r="A675" s="121">
        <f t="shared" si="10"/>
        <v>674</v>
      </c>
      <c r="B675" s="123">
        <f>YEAR(Table6[[#This Row],[Date]])+IF(MONTH(Table6[[#This Row],[Date]])&gt;=4,1,0)</f>
        <v>2026</v>
      </c>
      <c r="C675" s="121">
        <f>YEAR(Table6[[#This Row],[Date]])</f>
        <v>2025</v>
      </c>
      <c r="D675" s="121" t="s">
        <v>490</v>
      </c>
      <c r="E675" s="135">
        <f>Table6[[#This Row],[Date]]-DAY(Table6[[#This Row],[Date]])+1</f>
        <v>45778</v>
      </c>
      <c r="F675" s="134">
        <v>45808</v>
      </c>
      <c r="G675" s="121" t="s">
        <v>148</v>
      </c>
      <c r="H675" s="39" t="str">
        <f>_xlfn.XLOOKUP(Table6[[#This Row],[Affected WTG]],'Basic Data'!$A:$A,'Basic Data'!$B:$B)</f>
        <v>PWEGPL</v>
      </c>
      <c r="I675" s="39" t="str">
        <f>_xlfn.XLOOKUP(Table6[[#This Row],[Affected WTG]],'Basic Data'!$A:$A,'Basic Data'!$C:$C)</f>
        <v>MSEDCL</v>
      </c>
      <c r="J675" s="363">
        <f>IFERROR(VLOOKUP(Table6[[#This Row],[Affected WTG]],'Basic Data'!$A$3:$E$56,5,0),"")</f>
        <v>2.564102564102564E-2</v>
      </c>
      <c r="K675" s="121">
        <v>222</v>
      </c>
      <c r="L675" s="39" t="str">
        <f>IFERROR(VLOOKUP(Table6[[#This Row],[Error Code]],'Basic Data'!$T:$U,2,0),"")</f>
        <v>Very Low Pressure On Hydraulic Unit</v>
      </c>
      <c r="M675" s="364" t="s">
        <v>462</v>
      </c>
      <c r="O675" s="365">
        <v>0.48472222222222222</v>
      </c>
      <c r="P675" s="365">
        <v>0.53125</v>
      </c>
      <c r="Q675" s="365">
        <v>0.53194444444444444</v>
      </c>
      <c r="R675" s="366">
        <f>IF(Table6[[#This Row],[Work Start TimeStamp]]="","",(Table6[[#This Row],[Work Start TimeStamp]]-Table6[[#This Row],[Fault Start TimeStamp]])*24)</f>
        <v>1.1166666666666667</v>
      </c>
      <c r="S675" s="377">
        <f>(Table6[[#This Row],[Fault Clearance time]]-Table6[[#This Row],[Work Start TimeStamp]])*24</f>
        <v>1.6666666666666607E-2</v>
      </c>
      <c r="T675" s="378">
        <f>(Table6[[#This Row],[Fault Clearance time]]-Table6[[#This Row],[Fault Start TimeStamp]])*24</f>
        <v>1.1333333333333333</v>
      </c>
      <c r="U675" s="364" t="s">
        <v>493</v>
      </c>
      <c r="V675" s="364" t="s">
        <v>463</v>
      </c>
      <c r="W675" s="354">
        <f>Table6[[#This Row],[Breakdown Time]]*(1/39)</f>
        <v>2.9059829059829057E-2</v>
      </c>
      <c r="X675" s="352" t="s">
        <v>465</v>
      </c>
      <c r="Y675" s="364" t="s">
        <v>149</v>
      </c>
      <c r="Z675" s="121">
        <v>17300</v>
      </c>
      <c r="AA675" s="123">
        <v>816.94444444444446</v>
      </c>
      <c r="AB675" s="121" t="s">
        <v>478</v>
      </c>
    </row>
    <row r="676" spans="1:28">
      <c r="A676" s="121">
        <f t="shared" si="10"/>
        <v>675</v>
      </c>
      <c r="B676" s="123">
        <f>YEAR(Table6[[#This Row],[Date]])+IF(MONTH(Table6[[#This Row],[Date]])&gt;=4,1,0)</f>
        <v>2026</v>
      </c>
      <c r="C676" s="121">
        <f>YEAR(Table6[[#This Row],[Date]])</f>
        <v>2025</v>
      </c>
      <c r="D676" s="121" t="s">
        <v>490</v>
      </c>
      <c r="E676" s="135">
        <f>Table6[[#This Row],[Date]]-DAY(Table6[[#This Row],[Date]])+1</f>
        <v>45778</v>
      </c>
      <c r="F676" s="134">
        <v>45808</v>
      </c>
      <c r="G676" s="121" t="s">
        <v>148</v>
      </c>
      <c r="H676" s="39" t="str">
        <f>_xlfn.XLOOKUP(Table6[[#This Row],[Affected WTG]],'Basic Data'!$A:$A,'Basic Data'!$B:$B)</f>
        <v>PWEGPL</v>
      </c>
      <c r="I676" s="39" t="str">
        <f>_xlfn.XLOOKUP(Table6[[#This Row],[Affected WTG]],'Basic Data'!$A:$A,'Basic Data'!$C:$C)</f>
        <v>MSEDCL</v>
      </c>
      <c r="J676" s="363">
        <f>IFERROR(VLOOKUP(Table6[[#This Row],[Affected WTG]],'Basic Data'!$A$3:$E$56,5,0),"")</f>
        <v>2.564102564102564E-2</v>
      </c>
      <c r="K676" s="121">
        <v>5210</v>
      </c>
      <c r="L676" s="39" t="str">
        <f>IFERROR(VLOOKUP(Table6[[#This Row],[Error Code]],'Basic Data'!$T:$U,2,0),"")</f>
        <v>Failure Of The Contactor's Rotor Power</v>
      </c>
      <c r="M676" s="364" t="s">
        <v>462</v>
      </c>
      <c r="O676" s="365">
        <v>0.63194444444444442</v>
      </c>
      <c r="P676" s="365">
        <v>0.66736111111111107</v>
      </c>
      <c r="Q676" s="365">
        <v>0.66805555555555551</v>
      </c>
      <c r="R676" s="366">
        <f>IF(Table6[[#This Row],[Work Start TimeStamp]]="","",(Table6[[#This Row],[Work Start TimeStamp]]-Table6[[#This Row],[Fault Start TimeStamp]])*24)</f>
        <v>0.84999999999999964</v>
      </c>
      <c r="S676" s="377">
        <f>(Table6[[#This Row],[Fault Clearance time]]-Table6[[#This Row],[Work Start TimeStamp]])*24</f>
        <v>1.6666666666666607E-2</v>
      </c>
      <c r="T676" s="378">
        <f>(Table6[[#This Row],[Fault Clearance time]]-Table6[[#This Row],[Fault Start TimeStamp]])*24</f>
        <v>0.86666666666666625</v>
      </c>
      <c r="U676" s="364" t="s">
        <v>493</v>
      </c>
      <c r="V676" s="364" t="s">
        <v>463</v>
      </c>
      <c r="W676" s="354">
        <f>Table6[[#This Row],[Breakdown Time]]*(1/39)</f>
        <v>2.2222222222222209E-2</v>
      </c>
      <c r="X676" s="352" t="s">
        <v>465</v>
      </c>
      <c r="Y676" s="364" t="s">
        <v>149</v>
      </c>
      <c r="Z676" s="121">
        <v>17300</v>
      </c>
      <c r="AA676" s="123">
        <v>624.72222222222194</v>
      </c>
      <c r="AB676" s="121" t="s">
        <v>478</v>
      </c>
    </row>
    <row r="677" spans="1:28">
      <c r="A677" s="121">
        <f t="shared" si="10"/>
        <v>676</v>
      </c>
      <c r="B677" s="123">
        <f>YEAR(Table6[[#This Row],[Date]])+IF(MONTH(Table6[[#This Row],[Date]])&gt;=4,1,0)</f>
        <v>2026</v>
      </c>
      <c r="C677" s="121">
        <f>YEAR(Table6[[#This Row],[Date]])</f>
        <v>2025</v>
      </c>
      <c r="D677" s="121" t="s">
        <v>490</v>
      </c>
      <c r="E677" s="135">
        <f>Table6[[#This Row],[Date]]-DAY(Table6[[#This Row],[Date]])+1</f>
        <v>45778</v>
      </c>
      <c r="F677" s="134">
        <v>45808</v>
      </c>
      <c r="G677" s="121" t="s">
        <v>149</v>
      </c>
      <c r="H677" s="39" t="str">
        <f>_xlfn.XLOOKUP(Table6[[#This Row],[Affected WTG]],'Basic Data'!$A:$A,'Basic Data'!$B:$B)</f>
        <v>PWEGPL</v>
      </c>
      <c r="I677" s="39" t="str">
        <f>_xlfn.XLOOKUP(Table6[[#This Row],[Affected WTG]],'Basic Data'!$A:$A,'Basic Data'!$C:$C)</f>
        <v>MSEDCL</v>
      </c>
      <c r="J677" s="363">
        <f>IFERROR(VLOOKUP(Table6[[#This Row],[Affected WTG]],'Basic Data'!$A$3:$E$56,5,0),"")</f>
        <v>2.564102564102564E-2</v>
      </c>
      <c r="K677" s="121">
        <v>222</v>
      </c>
      <c r="L677" s="39" t="str">
        <f>IFERROR(VLOOKUP(Table6[[#This Row],[Error Code]],'Basic Data'!$T:$U,2,0),"")</f>
        <v>Very Low Pressure On Hydraulic Unit</v>
      </c>
      <c r="M677" s="364" t="s">
        <v>462</v>
      </c>
      <c r="O677" s="365">
        <v>0.48472222222222222</v>
      </c>
      <c r="P677" s="365">
        <v>0.54861111111111116</v>
      </c>
      <c r="Q677" s="365">
        <v>0.5493055555555556</v>
      </c>
      <c r="R677" s="366">
        <f>IF(Table6[[#This Row],[Work Start TimeStamp]]="","",(Table6[[#This Row],[Work Start TimeStamp]]-Table6[[#This Row],[Fault Start TimeStamp]])*24)</f>
        <v>1.5333333333333345</v>
      </c>
      <c r="S677" s="377">
        <f>(Table6[[#This Row],[Fault Clearance time]]-Table6[[#This Row],[Work Start TimeStamp]])*24</f>
        <v>1.6666666666666607E-2</v>
      </c>
      <c r="T677" s="378">
        <f>(Table6[[#This Row],[Fault Clearance time]]-Table6[[#This Row],[Fault Start TimeStamp]])*24</f>
        <v>1.5500000000000012</v>
      </c>
      <c r="U677" s="364" t="s">
        <v>491</v>
      </c>
      <c r="V677" s="364" t="s">
        <v>463</v>
      </c>
      <c r="W677" s="354">
        <f>Table6[[#This Row],[Breakdown Time]]*(1/39)</f>
        <v>3.9743589743589769E-2</v>
      </c>
      <c r="X677" s="352" t="s">
        <v>465</v>
      </c>
      <c r="Y677" s="364" t="s">
        <v>150</v>
      </c>
      <c r="Z677" s="121">
        <v>17839</v>
      </c>
      <c r="AA677" s="123">
        <v>1152.1020833333341</v>
      </c>
      <c r="AB677" s="121" t="s">
        <v>478</v>
      </c>
    </row>
    <row r="678" spans="1:28">
      <c r="A678" s="121">
        <f t="shared" si="10"/>
        <v>677</v>
      </c>
      <c r="B678" s="123">
        <f>YEAR(Table6[[#This Row],[Date]])+IF(MONTH(Table6[[#This Row],[Date]])&gt;=4,1,0)</f>
        <v>2026</v>
      </c>
      <c r="C678" s="121">
        <f>YEAR(Table6[[#This Row],[Date]])</f>
        <v>2025</v>
      </c>
      <c r="D678" s="121" t="s">
        <v>490</v>
      </c>
      <c r="E678" s="135">
        <f>Table6[[#This Row],[Date]]-DAY(Table6[[#This Row],[Date]])+1</f>
        <v>45778</v>
      </c>
      <c r="F678" s="134">
        <v>45808</v>
      </c>
      <c r="G678" s="121" t="s">
        <v>151</v>
      </c>
      <c r="H678" s="39" t="str">
        <f>_xlfn.XLOOKUP(Table6[[#This Row],[Affected WTG]],'Basic Data'!$A:$A,'Basic Data'!$B:$B)</f>
        <v>PWEGPL</v>
      </c>
      <c r="I678" s="39" t="str">
        <f>_xlfn.XLOOKUP(Table6[[#This Row],[Affected WTG]],'Basic Data'!$A:$A,'Basic Data'!$C:$C)</f>
        <v>MSEDCL</v>
      </c>
      <c r="J678" s="363">
        <f>IFERROR(VLOOKUP(Table6[[#This Row],[Affected WTG]],'Basic Data'!$A$3:$E$56,5,0),"")</f>
        <v>2.564102564102564E-2</v>
      </c>
      <c r="K678" s="121">
        <v>222</v>
      </c>
      <c r="L678" s="39" t="str">
        <f>IFERROR(VLOOKUP(Table6[[#This Row],[Error Code]],'Basic Data'!$T:$U,2,0),"")</f>
        <v>Very Low Pressure On Hydraulic Unit</v>
      </c>
      <c r="M678" s="364" t="s">
        <v>462</v>
      </c>
      <c r="O678" s="365">
        <v>0.48472222222222222</v>
      </c>
      <c r="P678" s="365">
        <v>0.5625</v>
      </c>
      <c r="Q678" s="365">
        <v>0.56319444444444444</v>
      </c>
      <c r="R678" s="366">
        <f>IF(Table6[[#This Row],[Work Start TimeStamp]]="","",(Table6[[#This Row],[Work Start TimeStamp]]-Table6[[#This Row],[Fault Start TimeStamp]])*24)</f>
        <v>1.8666666666666667</v>
      </c>
      <c r="S678" s="377">
        <f>(Table6[[#This Row],[Fault Clearance time]]-Table6[[#This Row],[Work Start TimeStamp]])*24</f>
        <v>1.6666666666666607E-2</v>
      </c>
      <c r="T678" s="378">
        <f>(Table6[[#This Row],[Fault Clearance time]]-Table6[[#This Row],[Fault Start TimeStamp]])*24</f>
        <v>1.8833333333333333</v>
      </c>
      <c r="U678" s="364" t="s">
        <v>493</v>
      </c>
      <c r="V678" s="364" t="s">
        <v>463</v>
      </c>
      <c r="W678" s="354">
        <f>Table6[[#This Row],[Breakdown Time]]*(1/39)</f>
        <v>4.8290598290598286E-2</v>
      </c>
      <c r="X678" s="352" t="s">
        <v>465</v>
      </c>
      <c r="Y678" s="364" t="s">
        <v>152</v>
      </c>
      <c r="Z678" s="121">
        <v>17852</v>
      </c>
      <c r="AA678" s="123">
        <v>1400.8861111111112</v>
      </c>
      <c r="AB678" s="121" t="s">
        <v>478</v>
      </c>
    </row>
    <row r="679" spans="1:28">
      <c r="A679" s="121">
        <f t="shared" si="10"/>
        <v>678</v>
      </c>
      <c r="B679" s="123">
        <f>YEAR(Table6[[#This Row],[Date]])+IF(MONTH(Table6[[#This Row],[Date]])&gt;=4,1,0)</f>
        <v>2026</v>
      </c>
      <c r="C679" s="121">
        <f>YEAR(Table6[[#This Row],[Date]])</f>
        <v>2025</v>
      </c>
      <c r="D679" s="121" t="s">
        <v>490</v>
      </c>
      <c r="E679" s="135">
        <f>Table6[[#This Row],[Date]]-DAY(Table6[[#This Row],[Date]])+1</f>
        <v>45809</v>
      </c>
      <c r="F679" s="134">
        <v>45809</v>
      </c>
      <c r="G679" s="121" t="s">
        <v>144</v>
      </c>
      <c r="H679" s="39" t="str">
        <f>_xlfn.XLOOKUP(Table6[[#This Row],[Affected WTG]],'Basic Data'!$A:$A,'Basic Data'!$B:$B)</f>
        <v>PWEGPL</v>
      </c>
      <c r="I679" s="39" t="str">
        <f>_xlfn.XLOOKUP(Table6[[#This Row],[Affected WTG]],'Basic Data'!$A:$A,'Basic Data'!$C:$C)</f>
        <v>MSEDCL</v>
      </c>
      <c r="J679" s="363">
        <f>IFERROR(VLOOKUP(Table6[[#This Row],[Affected WTG]],'Basic Data'!$A$3:$E$56,5,0),"")</f>
        <v>2.564102564102564E-2</v>
      </c>
      <c r="K679" s="121" t="s">
        <v>492</v>
      </c>
      <c r="L679" s="39" t="str">
        <f>IFERROR(VLOOKUP(Table6[[#This Row],[Error Code]],'Basic Data'!$T:$U,2,0),"")</f>
        <v>Manual Stop - Safety Related</v>
      </c>
      <c r="M679" s="364" t="s">
        <v>481</v>
      </c>
      <c r="O679" s="365">
        <v>0</v>
      </c>
      <c r="P679" s="365">
        <v>0.99930555555555556</v>
      </c>
      <c r="Q679" s="365">
        <v>0.99930555555555556</v>
      </c>
      <c r="R679" s="366">
        <f>IF(Table6[[#This Row],[Work Start TimeStamp]]="","",(Table6[[#This Row],[Work Start TimeStamp]]-Table6[[#This Row],[Fault Start TimeStamp]])*24)</f>
        <v>23.983333333333334</v>
      </c>
      <c r="S679" s="377">
        <f>(Table6[[#This Row],[Fault Clearance time]]-Table6[[#This Row],[Work Start TimeStamp]])*24</f>
        <v>0</v>
      </c>
      <c r="T679" s="378">
        <f>(Table6[[#This Row],[Fault Clearance time]]-Table6[[#This Row],[Fault Start TimeStamp]])*24</f>
        <v>23.983333333333334</v>
      </c>
      <c r="U679" s="364" t="s">
        <v>498</v>
      </c>
      <c r="V679" s="364" t="s">
        <v>473</v>
      </c>
      <c r="W679" s="354">
        <f>Table6[[#This Row],[Breakdown Time]]*(1/39)</f>
        <v>0.61495726495726499</v>
      </c>
      <c r="X679" s="352" t="s">
        <v>468</v>
      </c>
      <c r="Y679" s="364" t="s">
        <v>141</v>
      </c>
      <c r="Z679" s="121">
        <v>19252</v>
      </c>
      <c r="AA679" s="123">
        <v>19238.630555555555</v>
      </c>
      <c r="AB679" s="121" t="s">
        <v>478</v>
      </c>
    </row>
    <row r="680" spans="1:28">
      <c r="A680" s="121">
        <f t="shared" si="10"/>
        <v>679</v>
      </c>
      <c r="B680" s="123">
        <f>YEAR(Table6[[#This Row],[Date]])+IF(MONTH(Table6[[#This Row],[Date]])&gt;=4,1,0)</f>
        <v>2026</v>
      </c>
      <c r="C680" s="121">
        <f>YEAR(Table6[[#This Row],[Date]])</f>
        <v>2025</v>
      </c>
      <c r="D680" s="121" t="s">
        <v>490</v>
      </c>
      <c r="E680" s="135">
        <f>Table6[[#This Row],[Date]]-DAY(Table6[[#This Row],[Date]])+1</f>
        <v>45809</v>
      </c>
      <c r="F680" s="134">
        <v>45809</v>
      </c>
      <c r="G680" s="121" t="s">
        <v>142</v>
      </c>
      <c r="H680" s="39" t="str">
        <f>_xlfn.XLOOKUP(Table6[[#This Row],[Affected WTG]],'Basic Data'!$A:$A,'Basic Data'!$B:$B)</f>
        <v>PWEGPL</v>
      </c>
      <c r="I680" s="39" t="str">
        <f>_xlfn.XLOOKUP(Table6[[#This Row],[Affected WTG]],'Basic Data'!$A:$A,'Basic Data'!$C:$C)</f>
        <v>MSEDCL</v>
      </c>
      <c r="J680" s="363">
        <f>IFERROR(VLOOKUP(Table6[[#This Row],[Affected WTG]],'Basic Data'!$A$3:$E$56,5,0),"")</f>
        <v>2.564102564102564E-2</v>
      </c>
      <c r="K680" s="121" t="s">
        <v>492</v>
      </c>
      <c r="L680" s="39" t="str">
        <f>IFERROR(VLOOKUP(Table6[[#This Row],[Error Code]],'Basic Data'!$T:$U,2,0),"")</f>
        <v>Manual Stop - Safety Related</v>
      </c>
      <c r="M680" s="364" t="s">
        <v>481</v>
      </c>
      <c r="O680" s="365">
        <v>0</v>
      </c>
      <c r="P680" s="365">
        <v>0.99930555555555556</v>
      </c>
      <c r="Q680" s="365">
        <v>0.99930555555555556</v>
      </c>
      <c r="R680" s="366">
        <f>IF(Table6[[#This Row],[Work Start TimeStamp]]="","",(Table6[[#This Row],[Work Start TimeStamp]]-Table6[[#This Row],[Fault Start TimeStamp]])*24)</f>
        <v>23.983333333333334</v>
      </c>
      <c r="S680" s="377">
        <f>(Table6[[#This Row],[Fault Clearance time]]-Table6[[#This Row],[Work Start TimeStamp]])*24</f>
        <v>0</v>
      </c>
      <c r="T680" s="378">
        <f>(Table6[[#This Row],[Fault Clearance time]]-Table6[[#This Row],[Fault Start TimeStamp]])*24</f>
        <v>23.983333333333334</v>
      </c>
      <c r="U680" s="364" t="s">
        <v>498</v>
      </c>
      <c r="V680" s="364" t="s">
        <v>473</v>
      </c>
      <c r="W680" s="354">
        <f>Table6[[#This Row],[Breakdown Time]]*(1/39)</f>
        <v>0.61495726495726499</v>
      </c>
      <c r="X680" s="352" t="s">
        <v>468</v>
      </c>
      <c r="Y680" s="364" t="s">
        <v>141</v>
      </c>
      <c r="Z680" s="121">
        <v>19252</v>
      </c>
      <c r="AA680" s="123">
        <v>19238.630555555555</v>
      </c>
      <c r="AB680" s="121" t="s">
        <v>478</v>
      </c>
    </row>
    <row r="681" spans="1:28">
      <c r="A681" s="121">
        <f t="shared" si="10"/>
        <v>680</v>
      </c>
      <c r="B681" s="123">
        <f>YEAR(Table6[[#This Row],[Date]])+IF(MONTH(Table6[[#This Row],[Date]])&gt;=4,1,0)</f>
        <v>2026</v>
      </c>
      <c r="C681" s="121">
        <f>YEAR(Table6[[#This Row],[Date]])</f>
        <v>2025</v>
      </c>
      <c r="D681" s="121" t="s">
        <v>490</v>
      </c>
      <c r="E681" s="135">
        <f>Table6[[#This Row],[Date]]-DAY(Table6[[#This Row],[Date]])+1</f>
        <v>45809</v>
      </c>
      <c r="F681" s="134">
        <v>45809</v>
      </c>
      <c r="G681" s="121" t="s">
        <v>123</v>
      </c>
      <c r="H681" s="39" t="str">
        <f>_xlfn.XLOOKUP(Table6[[#This Row],[Affected WTG]],'Basic Data'!$A:$A,'Basic Data'!$B:$B)</f>
        <v>PWEGPL</v>
      </c>
      <c r="I681" s="39" t="str">
        <f>_xlfn.XLOOKUP(Table6[[#This Row],[Affected WTG]],'Basic Data'!$A:$A,'Basic Data'!$C:$C)</f>
        <v>MSEDCL</v>
      </c>
      <c r="J681" s="363">
        <f>IFERROR(VLOOKUP(Table6[[#This Row],[Affected WTG]],'Basic Data'!$A$3:$E$56,5,0),"")</f>
        <v>2.564102564102564E-2</v>
      </c>
      <c r="K681" s="121" t="s">
        <v>476</v>
      </c>
      <c r="L681" s="39" t="str">
        <f>IFERROR(VLOOKUP(Table6[[#This Row],[Error Code]],'Basic Data'!$T:$U,2,0),"")</f>
        <v>Manual Stop - Preventive Maintenance Activity</v>
      </c>
      <c r="M681" s="364" t="s">
        <v>474</v>
      </c>
      <c r="O681" s="365">
        <v>0.46875</v>
      </c>
      <c r="P681" s="365">
        <v>0.46875</v>
      </c>
      <c r="Q681" s="365">
        <v>0.75694444444444442</v>
      </c>
      <c r="R681" s="366">
        <f>IF(Table6[[#This Row],[Work Start TimeStamp]]="","",(Table6[[#This Row],[Work Start TimeStamp]]-Table6[[#This Row],[Fault Start TimeStamp]])*24)</f>
        <v>0</v>
      </c>
      <c r="S681" s="367">
        <f>(Table6[[#This Row],[Fault Clearance time]]-Table6[[#This Row],[Work Start TimeStamp]])*24</f>
        <v>6.9166666666666661</v>
      </c>
      <c r="T681" s="368">
        <f>(Table6[[#This Row],[Fault Clearance time]]-Table6[[#This Row],[Fault Start TimeStamp]])*24</f>
        <v>6.9166666666666661</v>
      </c>
      <c r="U681" s="364" t="s">
        <v>582</v>
      </c>
      <c r="V681" s="364" t="s">
        <v>463</v>
      </c>
      <c r="W681" s="354">
        <f>Table6[[#This Row],[Breakdown Time]]*(1/39)</f>
        <v>0.17735042735042733</v>
      </c>
      <c r="X681" s="352" t="s">
        <v>467</v>
      </c>
      <c r="Y681" s="364" t="s">
        <v>126</v>
      </c>
      <c r="Z681" s="121">
        <v>23119</v>
      </c>
      <c r="AA681" s="123">
        <v>6662.7673611111104</v>
      </c>
      <c r="AB681" s="121" t="s">
        <v>478</v>
      </c>
    </row>
    <row r="682" spans="1:28">
      <c r="A682" s="121">
        <f t="shared" si="10"/>
        <v>681</v>
      </c>
      <c r="B682" s="123">
        <f>YEAR(Table6[[#This Row],[Date]])+IF(MONTH(Table6[[#This Row],[Date]])&gt;=4,1,0)</f>
        <v>2026</v>
      </c>
      <c r="C682" s="121">
        <f>YEAR(Table6[[#This Row],[Date]])</f>
        <v>2025</v>
      </c>
      <c r="D682" s="121" t="s">
        <v>490</v>
      </c>
      <c r="E682" s="135">
        <f>Table6[[#This Row],[Date]]-DAY(Table6[[#This Row],[Date]])+1</f>
        <v>45809</v>
      </c>
      <c r="F682" s="134">
        <v>45809</v>
      </c>
      <c r="G682" s="121" t="s">
        <v>136</v>
      </c>
      <c r="H682" s="39" t="str">
        <f>_xlfn.XLOOKUP(Table6[[#This Row],[Affected WTG]],'Basic Data'!$A:$A,'Basic Data'!$B:$B)</f>
        <v>PWEGPL</v>
      </c>
      <c r="I682" s="39" t="str">
        <f>_xlfn.XLOOKUP(Table6[[#This Row],[Affected WTG]],'Basic Data'!$A:$A,'Basic Data'!$C:$C)</f>
        <v>MSEDCL</v>
      </c>
      <c r="J682" s="363">
        <f>IFERROR(VLOOKUP(Table6[[#This Row],[Affected WTG]],'Basic Data'!$A$3:$E$56,5,0),"")</f>
        <v>2.564102564102564E-2</v>
      </c>
      <c r="K682" s="121">
        <v>5210</v>
      </c>
      <c r="L682" s="39" t="str">
        <f>IFERROR(VLOOKUP(Table6[[#This Row],[Error Code]],'Basic Data'!$T:$U,2,0),"")</f>
        <v>Failure Of The Contactor's Rotor Power</v>
      </c>
      <c r="M682" s="364" t="s">
        <v>462</v>
      </c>
      <c r="O682" s="365">
        <v>0.5229166666666667</v>
      </c>
      <c r="P682" s="365">
        <v>0.54236111111111107</v>
      </c>
      <c r="Q682" s="365">
        <v>0.54305555555555551</v>
      </c>
      <c r="R682" s="366">
        <f>IF(Table6[[#This Row],[Work Start TimeStamp]]="","",(Table6[[#This Row],[Work Start TimeStamp]]-Table6[[#This Row],[Fault Start TimeStamp]])*24)</f>
        <v>0.46666666666666501</v>
      </c>
      <c r="S682" s="377">
        <f>(Table6[[#This Row],[Fault Clearance time]]-Table6[[#This Row],[Work Start TimeStamp]])*24</f>
        <v>1.6666666666666607E-2</v>
      </c>
      <c r="T682" s="378">
        <f>(Table6[[#This Row],[Fault Clearance time]]-Table6[[#This Row],[Fault Start TimeStamp]])*24</f>
        <v>0.48333333333333162</v>
      </c>
      <c r="U682" s="364" t="s">
        <v>493</v>
      </c>
      <c r="V682" s="364" t="s">
        <v>463</v>
      </c>
      <c r="W682" s="354">
        <f>Table6[[#This Row],[Breakdown Time]]*(1/39)</f>
        <v>1.2393162393162349E-2</v>
      </c>
      <c r="X682" s="352" t="s">
        <v>465</v>
      </c>
      <c r="Y682" s="364" t="s">
        <v>135</v>
      </c>
      <c r="Z682" s="121">
        <v>19243</v>
      </c>
      <c r="AA682" s="123">
        <v>387.5326388888875</v>
      </c>
      <c r="AB682" s="121" t="s">
        <v>478</v>
      </c>
    </row>
    <row r="683" spans="1:28">
      <c r="A683" s="121">
        <f t="shared" si="10"/>
        <v>682</v>
      </c>
      <c r="B683" s="123">
        <f>YEAR(Table6[[#This Row],[Date]])+IF(MONTH(Table6[[#This Row],[Date]])&gt;=4,1,0)</f>
        <v>2026</v>
      </c>
      <c r="C683" s="121">
        <f>YEAR(Table6[[#This Row],[Date]])</f>
        <v>2025</v>
      </c>
      <c r="D683" s="121" t="s">
        <v>490</v>
      </c>
      <c r="E683" s="135">
        <f>Table6[[#This Row],[Date]]-DAY(Table6[[#This Row],[Date]])+1</f>
        <v>45809</v>
      </c>
      <c r="F683" s="134">
        <v>45809</v>
      </c>
      <c r="G683" s="121" t="s">
        <v>137</v>
      </c>
      <c r="H683" s="39" t="str">
        <f>_xlfn.XLOOKUP(Table6[[#This Row],[Affected WTG]],'Basic Data'!$A:$A,'Basic Data'!$B:$B)</f>
        <v>PWEGPL</v>
      </c>
      <c r="I683" s="39" t="str">
        <f>_xlfn.XLOOKUP(Table6[[#This Row],[Affected WTG]],'Basic Data'!$A:$A,'Basic Data'!$C:$C)</f>
        <v>MSEDCL</v>
      </c>
      <c r="J683" s="363">
        <f>IFERROR(VLOOKUP(Table6[[#This Row],[Affected WTG]],'Basic Data'!$A$3:$E$56,5,0),"")</f>
        <v>2.564102564102564E-2</v>
      </c>
      <c r="K683" s="121">
        <v>5210</v>
      </c>
      <c r="L683" s="39" t="str">
        <f>IFERROR(VLOOKUP(Table6[[#This Row],[Error Code]],'Basic Data'!$T:$U,2,0),"")</f>
        <v>Failure Of The Contactor's Rotor Power</v>
      </c>
      <c r="M683" s="364" t="s">
        <v>462</v>
      </c>
      <c r="O683" s="365">
        <v>0.5229166666666667</v>
      </c>
      <c r="P683" s="365">
        <v>0.55208333333333337</v>
      </c>
      <c r="Q683" s="365">
        <v>0.55277777777777781</v>
      </c>
      <c r="R683" s="366">
        <f>IF(Table6[[#This Row],[Work Start TimeStamp]]="","",(Table6[[#This Row],[Work Start TimeStamp]]-Table6[[#This Row],[Fault Start TimeStamp]])*24)</f>
        <v>0.70000000000000018</v>
      </c>
      <c r="S683" s="377">
        <f>(Table6[[#This Row],[Fault Clearance time]]-Table6[[#This Row],[Work Start TimeStamp]])*24</f>
        <v>1.6666666666666607E-2</v>
      </c>
      <c r="T683" s="378">
        <f>(Table6[[#This Row],[Fault Clearance time]]-Table6[[#This Row],[Fault Start TimeStamp]])*24</f>
        <v>0.71666666666666679</v>
      </c>
      <c r="U683" s="364" t="s">
        <v>493</v>
      </c>
      <c r="V683" s="364" t="s">
        <v>463</v>
      </c>
      <c r="W683" s="354">
        <f>Table6[[#This Row],[Breakdown Time]]*(1/39)</f>
        <v>1.837606837606838E-2</v>
      </c>
      <c r="X683" s="352" t="s">
        <v>465</v>
      </c>
      <c r="Y683" s="364" t="s">
        <v>119</v>
      </c>
      <c r="Z683" s="121">
        <v>19223</v>
      </c>
      <c r="AA683" s="123">
        <v>574.02013888888905</v>
      </c>
      <c r="AB683" s="121" t="s">
        <v>478</v>
      </c>
    </row>
    <row r="684" spans="1:28">
      <c r="A684" s="121">
        <f t="shared" si="10"/>
        <v>683</v>
      </c>
      <c r="B684" s="123">
        <f>YEAR(Table6[[#This Row],[Date]])+IF(MONTH(Table6[[#This Row],[Date]])&gt;=4,1,0)</f>
        <v>2026</v>
      </c>
      <c r="C684" s="121">
        <f>YEAR(Table6[[#This Row],[Date]])</f>
        <v>2025</v>
      </c>
      <c r="D684" s="121" t="s">
        <v>490</v>
      </c>
      <c r="E684" s="135">
        <f>Table6[[#This Row],[Date]]-DAY(Table6[[#This Row],[Date]])+1</f>
        <v>45809</v>
      </c>
      <c r="F684" s="134">
        <v>45809</v>
      </c>
      <c r="G684" s="121" t="s">
        <v>138</v>
      </c>
      <c r="H684" s="39" t="str">
        <f>_xlfn.XLOOKUP(Table6[[#This Row],[Affected WTG]],'Basic Data'!$A:$A,'Basic Data'!$B:$B)</f>
        <v>PWEGPL</v>
      </c>
      <c r="I684" s="39" t="str">
        <f>_xlfn.XLOOKUP(Table6[[#This Row],[Affected WTG]],'Basic Data'!$A:$A,'Basic Data'!$C:$C)</f>
        <v>MSEDCL</v>
      </c>
      <c r="J684" s="363">
        <f>IFERROR(VLOOKUP(Table6[[#This Row],[Affected WTG]],'Basic Data'!$A$3:$E$56,5,0),"")</f>
        <v>2.564102564102564E-2</v>
      </c>
      <c r="K684" s="121">
        <v>222</v>
      </c>
      <c r="L684" s="39" t="str">
        <f>IFERROR(VLOOKUP(Table6[[#This Row],[Error Code]],'Basic Data'!$T:$U,2,0),"")</f>
        <v>Very Low Pressure On Hydraulic Unit</v>
      </c>
      <c r="M684" s="364" t="s">
        <v>462</v>
      </c>
      <c r="O684" s="365">
        <v>0.5229166666666667</v>
      </c>
      <c r="P684" s="365">
        <v>0.54861111111111116</v>
      </c>
      <c r="Q684" s="365">
        <v>0.5493055555555556</v>
      </c>
      <c r="R684" s="366">
        <f>IF(Table6[[#This Row],[Work Start TimeStamp]]="","",(Table6[[#This Row],[Work Start TimeStamp]]-Table6[[#This Row],[Fault Start TimeStamp]])*24)</f>
        <v>0.61666666666666714</v>
      </c>
      <c r="S684" s="377">
        <f>(Table6[[#This Row],[Fault Clearance time]]-Table6[[#This Row],[Work Start TimeStamp]])*24</f>
        <v>1.6666666666666607E-2</v>
      </c>
      <c r="T684" s="378">
        <f>(Table6[[#This Row],[Fault Clearance time]]-Table6[[#This Row],[Fault Start TimeStamp]])*24</f>
        <v>0.63333333333333375</v>
      </c>
      <c r="U684" s="364" t="s">
        <v>493</v>
      </c>
      <c r="V684" s="364" t="s">
        <v>463</v>
      </c>
      <c r="W684" s="354">
        <f>Table6[[#This Row],[Breakdown Time]]*(1/39)</f>
        <v>1.6239316239316251E-2</v>
      </c>
      <c r="X684" s="352" t="s">
        <v>465</v>
      </c>
      <c r="Y684" s="364" t="s">
        <v>140</v>
      </c>
      <c r="Z684" s="121">
        <v>19245</v>
      </c>
      <c r="AA684" s="123">
        <v>507.85416666666703</v>
      </c>
      <c r="AB684" s="121" t="s">
        <v>478</v>
      </c>
    </row>
    <row r="685" spans="1:28">
      <c r="A685" s="121">
        <f t="shared" si="10"/>
        <v>684</v>
      </c>
      <c r="B685" s="123">
        <f>YEAR(Table6[[#This Row],[Date]])+IF(MONTH(Table6[[#This Row],[Date]])&gt;=4,1,0)</f>
        <v>2026</v>
      </c>
      <c r="C685" s="121">
        <f>YEAR(Table6[[#This Row],[Date]])</f>
        <v>2025</v>
      </c>
      <c r="D685" s="121" t="s">
        <v>490</v>
      </c>
      <c r="E685" s="135">
        <f>Table6[[#This Row],[Date]]-DAY(Table6[[#This Row],[Date]])+1</f>
        <v>45809</v>
      </c>
      <c r="F685" s="134">
        <v>45810</v>
      </c>
      <c r="G685" s="121" t="s">
        <v>144</v>
      </c>
      <c r="H685" s="39" t="str">
        <f>_xlfn.XLOOKUP(Table6[[#This Row],[Affected WTG]],'Basic Data'!$A:$A,'Basic Data'!$B:$B)</f>
        <v>PWEGPL</v>
      </c>
      <c r="I685" s="39" t="str">
        <f>_xlfn.XLOOKUP(Table6[[#This Row],[Affected WTG]],'Basic Data'!$A:$A,'Basic Data'!$C:$C)</f>
        <v>MSEDCL</v>
      </c>
      <c r="J685" s="363">
        <f>IFERROR(VLOOKUP(Table6[[#This Row],[Affected WTG]],'Basic Data'!$A$3:$E$56,5,0),"")</f>
        <v>2.564102564102564E-2</v>
      </c>
      <c r="K685" s="121" t="s">
        <v>492</v>
      </c>
      <c r="L685" s="39" t="str">
        <f>IFERROR(VLOOKUP(Table6[[#This Row],[Error Code]],'Basic Data'!$T:$U,2,0),"")</f>
        <v>Manual Stop - Safety Related</v>
      </c>
      <c r="M685" s="364" t="s">
        <v>481</v>
      </c>
      <c r="O685" s="365">
        <v>0</v>
      </c>
      <c r="P685" s="365">
        <v>0.99930555555555556</v>
      </c>
      <c r="Q685" s="365">
        <v>0.99930555555555556</v>
      </c>
      <c r="R685" s="366">
        <f>IF(Table6[[#This Row],[Work Start TimeStamp]]="","",(Table6[[#This Row],[Work Start TimeStamp]]-Table6[[#This Row],[Fault Start TimeStamp]])*24)</f>
        <v>23.983333333333334</v>
      </c>
      <c r="S685" s="377">
        <f>(Table6[[#This Row],[Fault Clearance time]]-Table6[[#This Row],[Work Start TimeStamp]])*24</f>
        <v>0</v>
      </c>
      <c r="T685" s="378">
        <f>(Table6[[#This Row],[Fault Clearance time]]-Table6[[#This Row],[Fault Start TimeStamp]])*24</f>
        <v>23.983333333333334</v>
      </c>
      <c r="U685" s="364" t="s">
        <v>498</v>
      </c>
      <c r="V685" s="364" t="s">
        <v>473</v>
      </c>
      <c r="W685" s="354">
        <f>Table6[[#This Row],[Breakdown Time]]*(1/39)</f>
        <v>0.61495726495726499</v>
      </c>
      <c r="X685" s="352" t="s">
        <v>468</v>
      </c>
      <c r="Y685" s="364" t="s">
        <v>141</v>
      </c>
      <c r="Z685" s="121">
        <v>10267</v>
      </c>
      <c r="AA685" s="123">
        <v>10259.870138888889</v>
      </c>
      <c r="AB685" s="121" t="s">
        <v>478</v>
      </c>
    </row>
    <row r="686" spans="1:28">
      <c r="A686" s="121">
        <f t="shared" si="10"/>
        <v>685</v>
      </c>
      <c r="B686" s="123">
        <f>YEAR(Table6[[#This Row],[Date]])+IF(MONTH(Table6[[#This Row],[Date]])&gt;=4,1,0)</f>
        <v>2026</v>
      </c>
      <c r="C686" s="121">
        <f>YEAR(Table6[[#This Row],[Date]])</f>
        <v>2025</v>
      </c>
      <c r="D686" s="121" t="s">
        <v>490</v>
      </c>
      <c r="E686" s="135">
        <f>Table6[[#This Row],[Date]]-DAY(Table6[[#This Row],[Date]])+1</f>
        <v>45809</v>
      </c>
      <c r="F686" s="134">
        <v>45810</v>
      </c>
      <c r="G686" s="121" t="s">
        <v>142</v>
      </c>
      <c r="H686" s="39" t="str">
        <f>_xlfn.XLOOKUP(Table6[[#This Row],[Affected WTG]],'Basic Data'!$A:$A,'Basic Data'!$B:$B)</f>
        <v>PWEGPL</v>
      </c>
      <c r="I686" s="39" t="str">
        <f>_xlfn.XLOOKUP(Table6[[#This Row],[Affected WTG]],'Basic Data'!$A:$A,'Basic Data'!$C:$C)</f>
        <v>MSEDCL</v>
      </c>
      <c r="J686" s="363">
        <f>IFERROR(VLOOKUP(Table6[[#This Row],[Affected WTG]],'Basic Data'!$A$3:$E$56,5,0),"")</f>
        <v>2.564102564102564E-2</v>
      </c>
      <c r="K686" s="121" t="s">
        <v>492</v>
      </c>
      <c r="L686" s="39" t="str">
        <f>IFERROR(VLOOKUP(Table6[[#This Row],[Error Code]],'Basic Data'!$T:$U,2,0),"")</f>
        <v>Manual Stop - Safety Related</v>
      </c>
      <c r="M686" s="364" t="s">
        <v>481</v>
      </c>
      <c r="O686" s="365">
        <v>0</v>
      </c>
      <c r="P686" s="365">
        <v>0.99930555555555556</v>
      </c>
      <c r="Q686" s="365">
        <v>0.99930555555555556</v>
      </c>
      <c r="R686" s="366">
        <f>IF(Table6[[#This Row],[Work Start TimeStamp]]="","",(Table6[[#This Row],[Work Start TimeStamp]]-Table6[[#This Row],[Fault Start TimeStamp]])*24)</f>
        <v>23.983333333333334</v>
      </c>
      <c r="S686" s="377">
        <f>(Table6[[#This Row],[Fault Clearance time]]-Table6[[#This Row],[Work Start TimeStamp]])*24</f>
        <v>0</v>
      </c>
      <c r="T686" s="378">
        <f>(Table6[[#This Row],[Fault Clearance time]]-Table6[[#This Row],[Fault Start TimeStamp]])*24</f>
        <v>23.983333333333334</v>
      </c>
      <c r="U686" s="364" t="s">
        <v>498</v>
      </c>
      <c r="V686" s="364" t="s">
        <v>473</v>
      </c>
      <c r="W686" s="354">
        <f>Table6[[#This Row],[Breakdown Time]]*(1/39)</f>
        <v>0.61495726495726499</v>
      </c>
      <c r="X686" s="352" t="s">
        <v>468</v>
      </c>
      <c r="Y686" s="364" t="s">
        <v>141</v>
      </c>
      <c r="Z686" s="121">
        <v>10267</v>
      </c>
      <c r="AA686" s="123">
        <v>10259.870138888889</v>
      </c>
      <c r="AB686" s="121" t="s">
        <v>478</v>
      </c>
    </row>
    <row r="687" spans="1:28">
      <c r="A687" s="121">
        <f t="shared" si="10"/>
        <v>686</v>
      </c>
      <c r="B687" s="123">
        <f>YEAR(Table6[[#This Row],[Date]])+IF(MONTH(Table6[[#This Row],[Date]])&gt;=4,1,0)</f>
        <v>2026</v>
      </c>
      <c r="C687" s="121">
        <f>YEAR(Table6[[#This Row],[Date]])</f>
        <v>2025</v>
      </c>
      <c r="D687" s="121" t="s">
        <v>490</v>
      </c>
      <c r="E687" s="135">
        <f>Table6[[#This Row],[Date]]-DAY(Table6[[#This Row],[Date]])+1</f>
        <v>45809</v>
      </c>
      <c r="F687" s="134">
        <v>45810</v>
      </c>
      <c r="G687" s="121" t="s">
        <v>118</v>
      </c>
      <c r="H687" s="39" t="str">
        <f>_xlfn.XLOOKUP(Table6[[#This Row],[Affected WTG]],'Basic Data'!$A:$A,'Basic Data'!$B:$B)</f>
        <v>PWEGPL</v>
      </c>
      <c r="I687" s="39" t="str">
        <f>_xlfn.XLOOKUP(Table6[[#This Row],[Affected WTG]],'Basic Data'!$A:$A,'Basic Data'!$C:$C)</f>
        <v>MSEDCL</v>
      </c>
      <c r="J687" s="363">
        <f>IFERROR(VLOOKUP(Table6[[#This Row],[Affected WTG]],'Basic Data'!$A$3:$E$56,5,0),"")</f>
        <v>2.564102564102564E-2</v>
      </c>
      <c r="K687" s="121">
        <v>205</v>
      </c>
      <c r="L687" s="39" t="str">
        <f>IFERROR(VLOOKUP(Table6[[#This Row],[Error Code]],'Basic Data'!$T:$U,2,0),"")</f>
        <v>Low Level Hydraulic Group Refrigeration Oil</v>
      </c>
      <c r="M687" s="364" t="s">
        <v>462</v>
      </c>
      <c r="O687" s="365">
        <v>0.4375</v>
      </c>
      <c r="P687" s="365">
        <v>0.46111111111111114</v>
      </c>
      <c r="Q687" s="365">
        <v>0.55555555555555558</v>
      </c>
      <c r="R687" s="366">
        <f>IF(Table6[[#This Row],[Work Start TimeStamp]]="","",(Table6[[#This Row],[Work Start TimeStamp]]-Table6[[#This Row],[Fault Start TimeStamp]])*24)</f>
        <v>0.56666666666666732</v>
      </c>
      <c r="S687" s="377">
        <f>(Table6[[#This Row],[Fault Clearance time]]-Table6[[#This Row],[Work Start TimeStamp]])*24</f>
        <v>2.2666666666666666</v>
      </c>
      <c r="T687" s="378">
        <f>(Table6[[#This Row],[Fault Clearance time]]-Table6[[#This Row],[Fault Start TimeStamp]])*24</f>
        <v>2.8333333333333339</v>
      </c>
      <c r="U687" s="364" t="s">
        <v>1202</v>
      </c>
      <c r="V687" s="364" t="s">
        <v>463</v>
      </c>
      <c r="W687" s="354">
        <f>Table6[[#This Row],[Breakdown Time]]*(1/39)</f>
        <v>7.2649572649572669E-2</v>
      </c>
      <c r="X687" s="352" t="s">
        <v>465</v>
      </c>
      <c r="Y687" s="364" t="s">
        <v>117</v>
      </c>
      <c r="Z687" s="121">
        <v>10402</v>
      </c>
      <c r="AA687" s="123">
        <v>1228.0138888888891</v>
      </c>
      <c r="AB687" s="121" t="s">
        <v>478</v>
      </c>
    </row>
    <row r="688" spans="1:28">
      <c r="A688" s="121">
        <f t="shared" si="10"/>
        <v>687</v>
      </c>
      <c r="B688" s="123">
        <f>YEAR(Table6[[#This Row],[Date]])+IF(MONTH(Table6[[#This Row],[Date]])&gt;=4,1,0)</f>
        <v>2026</v>
      </c>
      <c r="C688" s="121">
        <f>YEAR(Table6[[#This Row],[Date]])</f>
        <v>2025</v>
      </c>
      <c r="D688" s="121" t="s">
        <v>490</v>
      </c>
      <c r="E688" s="135">
        <f>Table6[[#This Row],[Date]]-DAY(Table6[[#This Row],[Date]])+1</f>
        <v>45809</v>
      </c>
      <c r="F688" s="134">
        <v>45810</v>
      </c>
      <c r="G688" s="121" t="s">
        <v>122</v>
      </c>
      <c r="H688" s="39" t="str">
        <f>_xlfn.XLOOKUP(Table6[[#This Row],[Affected WTG]],'Basic Data'!$A:$A,'Basic Data'!$B:$B)</f>
        <v>PWEGPL</v>
      </c>
      <c r="I688" s="39" t="str">
        <f>_xlfn.XLOOKUP(Table6[[#This Row],[Affected WTG]],'Basic Data'!$A:$A,'Basic Data'!$C:$C)</f>
        <v>MSEDCL</v>
      </c>
      <c r="J688" s="363">
        <f>IFERROR(VLOOKUP(Table6[[#This Row],[Affected WTG]],'Basic Data'!$A$3:$E$56,5,0),"")</f>
        <v>2.564102564102564E-2</v>
      </c>
      <c r="K688" s="121" t="s">
        <v>476</v>
      </c>
      <c r="L688" s="39" t="str">
        <f>IFERROR(VLOOKUP(Table6[[#This Row],[Error Code]],'Basic Data'!$T:$U,2,0),"")</f>
        <v>Manual Stop - Preventive Maintenance Activity</v>
      </c>
      <c r="M688" s="364" t="s">
        <v>474</v>
      </c>
      <c r="O688" s="365">
        <v>0.47222222222222221</v>
      </c>
      <c r="P688" s="365">
        <v>0.47222222222222221</v>
      </c>
      <c r="Q688" s="365">
        <v>0.73958333333333337</v>
      </c>
      <c r="R688" s="366">
        <f>IF(Table6[[#This Row],[Work Start TimeStamp]]="","",(Table6[[#This Row],[Work Start TimeStamp]]-Table6[[#This Row],[Fault Start TimeStamp]])*24)</f>
        <v>0</v>
      </c>
      <c r="S688" s="367">
        <f>(Table6[[#This Row],[Fault Clearance time]]-Table6[[#This Row],[Work Start TimeStamp]])*24</f>
        <v>6.4166666666666679</v>
      </c>
      <c r="T688" s="368">
        <f>(Table6[[#This Row],[Fault Clearance time]]-Table6[[#This Row],[Fault Start TimeStamp]])*24</f>
        <v>6.4166666666666679</v>
      </c>
      <c r="U688" s="364" t="s">
        <v>582</v>
      </c>
      <c r="V688" s="364" t="s">
        <v>463</v>
      </c>
      <c r="W688" s="354">
        <f>Table6[[#This Row],[Breakdown Time]]*(1/39)</f>
        <v>0.16452991452991456</v>
      </c>
      <c r="X688" s="352" t="s">
        <v>467</v>
      </c>
      <c r="Y688" s="364" t="s">
        <v>117</v>
      </c>
      <c r="Z688" s="121">
        <v>10402</v>
      </c>
      <c r="AA688" s="123">
        <v>2781.0902777777783</v>
      </c>
      <c r="AB688" s="121" t="s">
        <v>478</v>
      </c>
    </row>
    <row r="689" spans="1:28">
      <c r="A689" s="121">
        <f t="shared" si="10"/>
        <v>688</v>
      </c>
      <c r="B689" s="123">
        <f>YEAR(Table6[[#This Row],[Date]])+IF(MONTH(Table6[[#This Row],[Date]])&gt;=4,1,0)</f>
        <v>2026</v>
      </c>
      <c r="C689" s="121">
        <f>YEAR(Table6[[#This Row],[Date]])</f>
        <v>2025</v>
      </c>
      <c r="D689" s="121" t="s">
        <v>490</v>
      </c>
      <c r="E689" s="135">
        <f>Table6[[#This Row],[Date]]-DAY(Table6[[#This Row],[Date]])+1</f>
        <v>45809</v>
      </c>
      <c r="F689" s="134">
        <v>45810</v>
      </c>
      <c r="G689" s="121" t="s">
        <v>134</v>
      </c>
      <c r="H689" s="39" t="str">
        <f>_xlfn.XLOOKUP(Table6[[#This Row],[Affected WTG]],'Basic Data'!$A:$A,'Basic Data'!$B:$B)</f>
        <v>PWEGPL</v>
      </c>
      <c r="I689" s="39" t="str">
        <f>_xlfn.XLOOKUP(Table6[[#This Row],[Affected WTG]],'Basic Data'!$A:$A,'Basic Data'!$C:$C)</f>
        <v>MSEDCL</v>
      </c>
      <c r="J689" s="363">
        <f>IFERROR(VLOOKUP(Table6[[#This Row],[Affected WTG]],'Basic Data'!$A$3:$E$56,5,0),"")</f>
        <v>2.564102564102564E-2</v>
      </c>
      <c r="K689" s="121">
        <v>5203</v>
      </c>
      <c r="L689" s="39" t="str">
        <f>IFERROR(VLOOKUP(Table6[[#This Row],[Error Code]],'Basic Data'!$T:$U,2,0),"")</f>
        <v>Heating/Coolant Thermal Magnetic Failure</v>
      </c>
      <c r="M689" s="364" t="s">
        <v>462</v>
      </c>
      <c r="O689" s="365">
        <v>0.78819444444444442</v>
      </c>
      <c r="P689" s="365">
        <v>0.81805555555555554</v>
      </c>
      <c r="Q689" s="365">
        <v>0.87569444444444444</v>
      </c>
      <c r="R689" s="366">
        <f>IF(Table6[[#This Row],[Work Start TimeStamp]]="","",(Table6[[#This Row],[Work Start TimeStamp]]-Table6[[#This Row],[Fault Start TimeStamp]])*24)</f>
        <v>0.71666666666666679</v>
      </c>
      <c r="S689" s="377">
        <f>(Table6[[#This Row],[Fault Clearance time]]-Table6[[#This Row],[Work Start TimeStamp]])*24</f>
        <v>1.3833333333333337</v>
      </c>
      <c r="T689" s="378">
        <f>(Table6[[#This Row],[Fault Clearance time]]-Table6[[#This Row],[Fault Start TimeStamp]])*24</f>
        <v>2.1000000000000005</v>
      </c>
      <c r="U689" s="364" t="s">
        <v>1203</v>
      </c>
      <c r="V689" s="364" t="s">
        <v>463</v>
      </c>
      <c r="W689" s="354">
        <f>Table6[[#This Row],[Breakdown Time]]*(1/39)</f>
        <v>5.3846153846153856E-2</v>
      </c>
      <c r="X689" s="352" t="s">
        <v>465</v>
      </c>
      <c r="Y689" s="364" t="s">
        <v>133</v>
      </c>
      <c r="Z689" s="121">
        <v>12267</v>
      </c>
      <c r="AA689" s="123">
        <v>1073.3625000000002</v>
      </c>
      <c r="AB689" s="121" t="s">
        <v>478</v>
      </c>
    </row>
    <row r="690" spans="1:28">
      <c r="A690" s="121">
        <f t="shared" si="10"/>
        <v>689</v>
      </c>
      <c r="B690" s="123">
        <f>YEAR(Table6[[#This Row],[Date]])+IF(MONTH(Table6[[#This Row],[Date]])&gt;=4,1,0)</f>
        <v>2026</v>
      </c>
      <c r="C690" s="121">
        <f>YEAR(Table6[[#This Row],[Date]])</f>
        <v>2025</v>
      </c>
      <c r="D690" s="121" t="s">
        <v>490</v>
      </c>
      <c r="E690" s="135">
        <f>Table6[[#This Row],[Date]]-DAY(Table6[[#This Row],[Date]])+1</f>
        <v>45809</v>
      </c>
      <c r="F690" s="134">
        <v>45810</v>
      </c>
      <c r="G690" s="121" t="s">
        <v>146</v>
      </c>
      <c r="H690" s="39" t="str">
        <f>_xlfn.XLOOKUP(Table6[[#This Row],[Affected WTG]],'Basic Data'!$A:$A,'Basic Data'!$B:$B)</f>
        <v>PWEGPL</v>
      </c>
      <c r="I690" s="39" t="str">
        <f>_xlfn.XLOOKUP(Table6[[#This Row],[Affected WTG]],'Basic Data'!$A:$A,'Basic Data'!$C:$C)</f>
        <v>MSEDCL</v>
      </c>
      <c r="J690" s="363">
        <f>IFERROR(VLOOKUP(Table6[[#This Row],[Affected WTG]],'Basic Data'!$A$3:$E$56,5,0),"")</f>
        <v>2.564102564102564E-2</v>
      </c>
      <c r="K690" s="121" t="s">
        <v>487</v>
      </c>
      <c r="L690" s="39" t="str">
        <f>IFERROR(VLOOKUP(Table6[[#This Row],[Error Code]],'Basic Data'!$T:$U,2,0),"")</f>
        <v>General Work Stoppage</v>
      </c>
      <c r="M690" s="364" t="s">
        <v>479</v>
      </c>
      <c r="O690" s="365">
        <v>0.47708333333333336</v>
      </c>
      <c r="P690" s="365">
        <v>0.47708333333333336</v>
      </c>
      <c r="Q690" s="365">
        <v>0.52083333333333337</v>
      </c>
      <c r="R690" s="366">
        <f>IF(Table6[[#This Row],[Work Start TimeStamp]]="","",(Table6[[#This Row],[Work Start TimeStamp]]-Table6[[#This Row],[Fault Start TimeStamp]])*24)</f>
        <v>0</v>
      </c>
      <c r="S690" s="377">
        <f>(Table6[[#This Row],[Fault Clearance time]]-Table6[[#This Row],[Work Start TimeStamp]])*24</f>
        <v>1.0500000000000003</v>
      </c>
      <c r="T690" s="378">
        <f>(Table6[[#This Row],[Fault Clearance time]]-Table6[[#This Row],[Fault Start TimeStamp]])*24</f>
        <v>1.0500000000000003</v>
      </c>
      <c r="U690" s="364" t="s">
        <v>1222</v>
      </c>
      <c r="V690" s="364" t="s">
        <v>463</v>
      </c>
      <c r="W690" s="354">
        <f>Table6[[#This Row],[Breakdown Time]]*(1/39)</f>
        <v>2.6923076923076928E-2</v>
      </c>
      <c r="X690" s="352" t="s">
        <v>464</v>
      </c>
      <c r="Y690" s="364" t="s">
        <v>147</v>
      </c>
      <c r="Z690" s="121">
        <v>9109</v>
      </c>
      <c r="AA690" s="123">
        <v>398.51875000000013</v>
      </c>
      <c r="AB690" s="121" t="s">
        <v>478</v>
      </c>
    </row>
    <row r="691" spans="1:28">
      <c r="A691" s="121">
        <f t="shared" si="10"/>
        <v>690</v>
      </c>
      <c r="B691" s="123">
        <f>YEAR(Table6[[#This Row],[Date]])+IF(MONTH(Table6[[#This Row],[Date]])&gt;=4,1,0)</f>
        <v>2026</v>
      </c>
      <c r="C691" s="121">
        <f>YEAR(Table6[[#This Row],[Date]])</f>
        <v>2025</v>
      </c>
      <c r="D691" s="121" t="s">
        <v>490</v>
      </c>
      <c r="E691" s="135">
        <f>Table6[[#This Row],[Date]]-DAY(Table6[[#This Row],[Date]])+1</f>
        <v>45809</v>
      </c>
      <c r="F691" s="134">
        <v>45810</v>
      </c>
      <c r="G691" s="121" t="s">
        <v>148</v>
      </c>
      <c r="H691" s="39" t="str">
        <f>_xlfn.XLOOKUP(Table6[[#This Row],[Affected WTG]],'Basic Data'!$A:$A,'Basic Data'!$B:$B)</f>
        <v>PWEGPL</v>
      </c>
      <c r="I691" s="39" t="str">
        <f>_xlfn.XLOOKUP(Table6[[#This Row],[Affected WTG]],'Basic Data'!$A:$A,'Basic Data'!$C:$C)</f>
        <v>MSEDCL</v>
      </c>
      <c r="J691" s="363">
        <f>IFERROR(VLOOKUP(Table6[[#This Row],[Affected WTG]],'Basic Data'!$A$3:$E$56,5,0),"")</f>
        <v>2.564102564102564E-2</v>
      </c>
      <c r="K691" s="121" t="s">
        <v>487</v>
      </c>
      <c r="L691" s="39" t="str">
        <f>IFERROR(VLOOKUP(Table6[[#This Row],[Error Code]],'Basic Data'!$T:$U,2,0),"")</f>
        <v>General Work Stoppage</v>
      </c>
      <c r="M691" s="364" t="s">
        <v>479</v>
      </c>
      <c r="O691" s="365">
        <v>0.54513888888888884</v>
      </c>
      <c r="P691" s="365">
        <v>0.54513888888888884</v>
      </c>
      <c r="Q691" s="365">
        <v>0.58472222222222225</v>
      </c>
      <c r="R691" s="366">
        <f>IF(Table6[[#This Row],[Work Start TimeStamp]]="","",(Table6[[#This Row],[Work Start TimeStamp]]-Table6[[#This Row],[Fault Start TimeStamp]])*24)</f>
        <v>0</v>
      </c>
      <c r="S691" s="377">
        <f>(Table6[[#This Row],[Fault Clearance time]]-Table6[[#This Row],[Work Start TimeStamp]])*24</f>
        <v>0.95000000000000195</v>
      </c>
      <c r="T691" s="378">
        <f>(Table6[[#This Row],[Fault Clearance time]]-Table6[[#This Row],[Fault Start TimeStamp]])*24</f>
        <v>0.95000000000000195</v>
      </c>
      <c r="U691" s="364" t="s">
        <v>1213</v>
      </c>
      <c r="V691" s="364" t="s">
        <v>463</v>
      </c>
      <c r="W691" s="354">
        <f>Table6[[#This Row],[Breakdown Time]]*(1/39)</f>
        <v>2.4358974358974408E-2</v>
      </c>
      <c r="X691" s="352" t="s">
        <v>464</v>
      </c>
      <c r="Y691" s="364" t="s">
        <v>149</v>
      </c>
      <c r="Z691" s="121">
        <v>9111</v>
      </c>
      <c r="AA691" s="123">
        <v>360.64375000000075</v>
      </c>
      <c r="AB691" s="121" t="s">
        <v>478</v>
      </c>
    </row>
    <row r="692" spans="1:28">
      <c r="A692" s="121">
        <f t="shared" si="10"/>
        <v>691</v>
      </c>
      <c r="B692" s="123">
        <f>YEAR(Table6[[#This Row],[Date]])+IF(MONTH(Table6[[#This Row],[Date]])&gt;=4,1,0)</f>
        <v>2026</v>
      </c>
      <c r="C692" s="121">
        <f>YEAR(Table6[[#This Row],[Date]])</f>
        <v>2025</v>
      </c>
      <c r="D692" s="121" t="s">
        <v>490</v>
      </c>
      <c r="E692" s="135">
        <f>Table6[[#This Row],[Date]]-DAY(Table6[[#This Row],[Date]])+1</f>
        <v>45809</v>
      </c>
      <c r="F692" s="134">
        <v>45810</v>
      </c>
      <c r="G692" s="121" t="s">
        <v>146</v>
      </c>
      <c r="H692" s="39" t="str">
        <f>_xlfn.XLOOKUP(Table6[[#This Row],[Affected WTG]],'Basic Data'!$A:$A,'Basic Data'!$B:$B)</f>
        <v>PWEGPL</v>
      </c>
      <c r="I692" s="39" t="str">
        <f>_xlfn.XLOOKUP(Table6[[#This Row],[Affected WTG]],'Basic Data'!$A:$A,'Basic Data'!$C:$C)</f>
        <v>MSEDCL</v>
      </c>
      <c r="J692" s="363">
        <f>IFERROR(VLOOKUP(Table6[[#This Row],[Affected WTG]],'Basic Data'!$A$3:$E$56,5,0),"")</f>
        <v>2.564102564102564E-2</v>
      </c>
      <c r="K692" s="121">
        <v>509</v>
      </c>
      <c r="L692" s="39" t="str">
        <f>IFERROR(VLOOKUP(Table6[[#This Row],[Error Code]],'Basic Data'!$T:$U,2,0),"")</f>
        <v>Generator Slipping Ring High Temperature</v>
      </c>
      <c r="M692" s="364" t="s">
        <v>462</v>
      </c>
      <c r="O692" s="365">
        <v>0.73958333333333337</v>
      </c>
      <c r="P692" s="365">
        <v>0.7583333333333333</v>
      </c>
      <c r="Q692" s="365">
        <v>0.75902777777777775</v>
      </c>
      <c r="R692" s="366">
        <f>IF(Table6[[#This Row],[Work Start TimeStamp]]="","",(Table6[[#This Row],[Work Start TimeStamp]]-Table6[[#This Row],[Fault Start TimeStamp]])*24)</f>
        <v>0.4499999999999984</v>
      </c>
      <c r="S692" s="377">
        <f>(Table6[[#This Row],[Fault Clearance time]]-Table6[[#This Row],[Work Start TimeStamp]])*24</f>
        <v>1.6666666666666607E-2</v>
      </c>
      <c r="T692" s="378">
        <f>(Table6[[#This Row],[Fault Clearance time]]-Table6[[#This Row],[Fault Start TimeStamp]])*24</f>
        <v>0.46666666666666501</v>
      </c>
      <c r="U692" s="364" t="s">
        <v>493</v>
      </c>
      <c r="V692" s="364" t="s">
        <v>463</v>
      </c>
      <c r="W692" s="354">
        <f>Table6[[#This Row],[Breakdown Time]]*(1/39)</f>
        <v>1.1965811965811923E-2</v>
      </c>
      <c r="X692" s="352" t="s">
        <v>465</v>
      </c>
      <c r="Y692" s="364" t="s">
        <v>147</v>
      </c>
      <c r="Z692" s="121">
        <v>9109</v>
      </c>
      <c r="AA692" s="123">
        <v>177.11944444444381</v>
      </c>
      <c r="AB692" s="121" t="s">
        <v>478</v>
      </c>
    </row>
    <row r="693" spans="1:28">
      <c r="A693" s="121">
        <f t="shared" si="10"/>
        <v>692</v>
      </c>
      <c r="B693" s="123">
        <f>YEAR(Table6[[#This Row],[Date]])+IF(MONTH(Table6[[#This Row],[Date]])&gt;=4,1,0)</f>
        <v>2026</v>
      </c>
      <c r="C693" s="121">
        <f>YEAR(Table6[[#This Row],[Date]])</f>
        <v>2025</v>
      </c>
      <c r="D693" s="121" t="s">
        <v>490</v>
      </c>
      <c r="E693" s="135">
        <f>Table6[[#This Row],[Date]]-DAY(Table6[[#This Row],[Date]])+1</f>
        <v>45809</v>
      </c>
      <c r="F693" s="134">
        <v>45811</v>
      </c>
      <c r="G693" s="121" t="s">
        <v>144</v>
      </c>
      <c r="H693" s="39" t="str">
        <f>_xlfn.XLOOKUP(Table6[[#This Row],[Affected WTG]],'Basic Data'!$A:$A,'Basic Data'!$B:$B)</f>
        <v>PWEGPL</v>
      </c>
      <c r="I693" s="39" t="str">
        <f>_xlfn.XLOOKUP(Table6[[#This Row],[Affected WTG]],'Basic Data'!$A:$A,'Basic Data'!$C:$C)</f>
        <v>MSEDCL</v>
      </c>
      <c r="J693" s="363">
        <f>IFERROR(VLOOKUP(Table6[[#This Row],[Affected WTG]],'Basic Data'!$A$3:$E$56,5,0),"")</f>
        <v>2.564102564102564E-2</v>
      </c>
      <c r="K693" s="121" t="s">
        <v>492</v>
      </c>
      <c r="L693" s="39" t="str">
        <f>IFERROR(VLOOKUP(Table6[[#This Row],[Error Code]],'Basic Data'!$T:$U,2,0),"")</f>
        <v>Manual Stop - Safety Related</v>
      </c>
      <c r="M693" s="364" t="s">
        <v>481</v>
      </c>
      <c r="O693" s="365">
        <v>0</v>
      </c>
      <c r="P693" s="365">
        <v>0.99930555555555556</v>
      </c>
      <c r="Q693" s="365">
        <v>0.99930555555555556</v>
      </c>
      <c r="R693" s="366">
        <f>IF(Table6[[#This Row],[Work Start TimeStamp]]="","",(Table6[[#This Row],[Work Start TimeStamp]]-Table6[[#This Row],[Fault Start TimeStamp]])*24)</f>
        <v>23.983333333333334</v>
      </c>
      <c r="S693" s="377">
        <f>(Table6[[#This Row],[Fault Clearance time]]-Table6[[#This Row],[Work Start TimeStamp]])*24</f>
        <v>0</v>
      </c>
      <c r="T693" s="378">
        <f>(Table6[[#This Row],[Fault Clearance time]]-Table6[[#This Row],[Fault Start TimeStamp]])*24</f>
        <v>23.983333333333334</v>
      </c>
      <c r="U693" s="364" t="s">
        <v>498</v>
      </c>
      <c r="V693" s="364" t="s">
        <v>473</v>
      </c>
      <c r="W693" s="354">
        <f>Table6[[#This Row],[Breakdown Time]]*(1/39)</f>
        <v>0.61495726495726499</v>
      </c>
      <c r="X693" s="352" t="s">
        <v>468</v>
      </c>
      <c r="Y693" s="364" t="s">
        <v>141</v>
      </c>
      <c r="Z693" s="121">
        <v>18276</v>
      </c>
      <c r="AA693" s="123">
        <v>18263.308333333334</v>
      </c>
      <c r="AB693" s="121" t="s">
        <v>478</v>
      </c>
    </row>
    <row r="694" spans="1:28">
      <c r="A694" s="121">
        <f t="shared" si="10"/>
        <v>693</v>
      </c>
      <c r="B694" s="123">
        <f>YEAR(Table6[[#This Row],[Date]])+IF(MONTH(Table6[[#This Row],[Date]])&gt;=4,1,0)</f>
        <v>2026</v>
      </c>
      <c r="C694" s="121">
        <f>YEAR(Table6[[#This Row],[Date]])</f>
        <v>2025</v>
      </c>
      <c r="D694" s="121" t="s">
        <v>490</v>
      </c>
      <c r="E694" s="135">
        <f>Table6[[#This Row],[Date]]-DAY(Table6[[#This Row],[Date]])+1</f>
        <v>45809</v>
      </c>
      <c r="F694" s="134">
        <v>45811</v>
      </c>
      <c r="G694" s="121" t="s">
        <v>142</v>
      </c>
      <c r="H694" s="39" t="str">
        <f>_xlfn.XLOOKUP(Table6[[#This Row],[Affected WTG]],'Basic Data'!$A:$A,'Basic Data'!$B:$B)</f>
        <v>PWEGPL</v>
      </c>
      <c r="I694" s="39" t="str">
        <f>_xlfn.XLOOKUP(Table6[[#This Row],[Affected WTG]],'Basic Data'!$A:$A,'Basic Data'!$C:$C)</f>
        <v>MSEDCL</v>
      </c>
      <c r="J694" s="363">
        <f>IFERROR(VLOOKUP(Table6[[#This Row],[Affected WTG]],'Basic Data'!$A$3:$E$56,5,0),"")</f>
        <v>2.564102564102564E-2</v>
      </c>
      <c r="K694" s="121" t="s">
        <v>492</v>
      </c>
      <c r="L694" s="39" t="str">
        <f>IFERROR(VLOOKUP(Table6[[#This Row],[Error Code]],'Basic Data'!$T:$U,2,0),"")</f>
        <v>Manual Stop - Safety Related</v>
      </c>
      <c r="M694" s="364" t="s">
        <v>481</v>
      </c>
      <c r="O694" s="365">
        <v>0</v>
      </c>
      <c r="P694" s="365">
        <v>0.99930555555555556</v>
      </c>
      <c r="Q694" s="365">
        <v>0.99930555555555556</v>
      </c>
      <c r="R694" s="366">
        <f>IF(Table6[[#This Row],[Work Start TimeStamp]]="","",(Table6[[#This Row],[Work Start TimeStamp]]-Table6[[#This Row],[Fault Start TimeStamp]])*24)</f>
        <v>23.983333333333334</v>
      </c>
      <c r="S694" s="377">
        <f>(Table6[[#This Row],[Fault Clearance time]]-Table6[[#This Row],[Work Start TimeStamp]])*24</f>
        <v>0</v>
      </c>
      <c r="T694" s="378">
        <f>(Table6[[#This Row],[Fault Clearance time]]-Table6[[#This Row],[Fault Start TimeStamp]])*24</f>
        <v>23.983333333333334</v>
      </c>
      <c r="U694" s="364" t="s">
        <v>498</v>
      </c>
      <c r="V694" s="364" t="s">
        <v>473</v>
      </c>
      <c r="W694" s="354">
        <f>Table6[[#This Row],[Breakdown Time]]*(1/39)</f>
        <v>0.61495726495726499</v>
      </c>
      <c r="X694" s="352" t="s">
        <v>468</v>
      </c>
      <c r="Y694" s="364" t="s">
        <v>141</v>
      </c>
      <c r="Z694" s="121">
        <v>18276</v>
      </c>
      <c r="AA694" s="123">
        <v>18263.308333333334</v>
      </c>
      <c r="AB694" s="121" t="s">
        <v>478</v>
      </c>
    </row>
    <row r="695" spans="1:28">
      <c r="A695" s="121">
        <f t="shared" si="10"/>
        <v>694</v>
      </c>
      <c r="B695" s="123">
        <f>YEAR(Table6[[#This Row],[Date]])+IF(MONTH(Table6[[#This Row],[Date]])&gt;=4,1,0)</f>
        <v>2026</v>
      </c>
      <c r="C695" s="121">
        <f>YEAR(Table6[[#This Row],[Date]])</f>
        <v>2025</v>
      </c>
      <c r="D695" s="121" t="s">
        <v>490</v>
      </c>
      <c r="E695" s="135">
        <f>Table6[[#This Row],[Date]]-DAY(Table6[[#This Row],[Date]])+1</f>
        <v>45809</v>
      </c>
      <c r="F695" s="134">
        <v>45811</v>
      </c>
      <c r="G695" s="121" t="s">
        <v>125</v>
      </c>
      <c r="H695" s="39" t="str">
        <f>_xlfn.XLOOKUP(Table6[[#This Row],[Affected WTG]],'Basic Data'!$A:$A,'Basic Data'!$B:$B)</f>
        <v>PWEGPL</v>
      </c>
      <c r="I695" s="39" t="str">
        <f>_xlfn.XLOOKUP(Table6[[#This Row],[Affected WTG]],'Basic Data'!$A:$A,'Basic Data'!$C:$C)</f>
        <v>MSEDCL</v>
      </c>
      <c r="J695" s="363">
        <f>IFERROR(VLOOKUP(Table6[[#This Row],[Affected WTG]],'Basic Data'!$A$3:$E$56,5,0),"")</f>
        <v>2.564102564102564E-2</v>
      </c>
      <c r="K695" s="121">
        <v>203</v>
      </c>
      <c r="L695" s="39" t="str">
        <f>IFERROR(VLOOKUP(Table6[[#This Row],[Error Code]],'Basic Data'!$T:$U,2,0),"")</f>
        <v>Low Pressure On Hydraulic Group</v>
      </c>
      <c r="M695" s="364" t="s">
        <v>462</v>
      </c>
      <c r="O695" s="365">
        <v>0.43125000000000002</v>
      </c>
      <c r="P695" s="365">
        <v>0.50763888888888886</v>
      </c>
      <c r="Q695" s="365">
        <v>0.5083333333333333</v>
      </c>
      <c r="R695" s="366">
        <f>IF(Table6[[#This Row],[Work Start TimeStamp]]="","",(Table6[[#This Row],[Work Start TimeStamp]]-Table6[[#This Row],[Fault Start TimeStamp]])*24)</f>
        <v>1.8333333333333321</v>
      </c>
      <c r="S695" s="377">
        <f>(Table6[[#This Row],[Fault Clearance time]]-Table6[[#This Row],[Work Start TimeStamp]])*24</f>
        <v>1.6666666666666607E-2</v>
      </c>
      <c r="T695" s="378">
        <f>(Table6[[#This Row],[Fault Clearance time]]-Table6[[#This Row],[Fault Start TimeStamp]])*24</f>
        <v>1.8499999999999988</v>
      </c>
      <c r="U695" s="364" t="s">
        <v>493</v>
      </c>
      <c r="V695" s="364" t="s">
        <v>463</v>
      </c>
      <c r="W695" s="354">
        <f>Table6[[#This Row],[Breakdown Time]]*(1/39)</f>
        <v>4.7435897435897399E-2</v>
      </c>
      <c r="X695" s="352" t="s">
        <v>465</v>
      </c>
      <c r="Y695" s="364" t="s">
        <v>124</v>
      </c>
      <c r="Z695" s="121">
        <v>21268</v>
      </c>
      <c r="AA695" s="123">
        <v>1639.4083333333322</v>
      </c>
      <c r="AB695" s="121" t="s">
        <v>478</v>
      </c>
    </row>
    <row r="696" spans="1:28">
      <c r="A696" s="121">
        <f t="shared" si="10"/>
        <v>695</v>
      </c>
      <c r="B696" s="123">
        <f>YEAR(Table6[[#This Row],[Date]])+IF(MONTH(Table6[[#This Row],[Date]])&gt;=4,1,0)</f>
        <v>2026</v>
      </c>
      <c r="C696" s="121">
        <f>YEAR(Table6[[#This Row],[Date]])</f>
        <v>2025</v>
      </c>
      <c r="D696" s="121" t="s">
        <v>490</v>
      </c>
      <c r="E696" s="135">
        <f>Table6[[#This Row],[Date]]-DAY(Table6[[#This Row],[Date]])+1</f>
        <v>45809</v>
      </c>
      <c r="F696" s="134">
        <v>45811</v>
      </c>
      <c r="G696" s="121" t="s">
        <v>125</v>
      </c>
      <c r="H696" s="39" t="str">
        <f>_xlfn.XLOOKUP(Table6[[#This Row],[Affected WTG]],'Basic Data'!$A:$A,'Basic Data'!$B:$B)</f>
        <v>PWEGPL</v>
      </c>
      <c r="I696" s="39" t="str">
        <f>_xlfn.XLOOKUP(Table6[[#This Row],[Affected WTG]],'Basic Data'!$A:$A,'Basic Data'!$C:$C)</f>
        <v>MSEDCL</v>
      </c>
      <c r="J696" s="363">
        <f>IFERROR(VLOOKUP(Table6[[#This Row],[Affected WTG]],'Basic Data'!$A$3:$E$56,5,0),"")</f>
        <v>2.564102564102564E-2</v>
      </c>
      <c r="K696" s="121" t="s">
        <v>476</v>
      </c>
      <c r="L696" s="39" t="str">
        <f>IFERROR(VLOOKUP(Table6[[#This Row],[Error Code]],'Basic Data'!$T:$U,2,0),"")</f>
        <v>Manual Stop - Preventive Maintenance Activity</v>
      </c>
      <c r="M696" s="364" t="s">
        <v>474</v>
      </c>
      <c r="O696" s="365">
        <v>0.5083333333333333</v>
      </c>
      <c r="P696" s="365">
        <v>0.5083333333333333</v>
      </c>
      <c r="Q696" s="365">
        <v>0.77083333333333337</v>
      </c>
      <c r="R696" s="366">
        <f>IF(Table6[[#This Row],[Work Start TimeStamp]]="","",(Table6[[#This Row],[Work Start TimeStamp]]-Table6[[#This Row],[Fault Start TimeStamp]])*24)</f>
        <v>0</v>
      </c>
      <c r="S696" s="393">
        <f>(Table6[[#This Row],[Fault Clearance time]]-Table6[[#This Row],[Work Start TimeStamp]])*24</f>
        <v>6.3000000000000016</v>
      </c>
      <c r="T696" s="378">
        <f>(Table6[[#This Row],[Fault Clearance time]]-Table6[[#This Row],[Fault Start TimeStamp]])*24</f>
        <v>6.3000000000000016</v>
      </c>
      <c r="U696" s="364" t="s">
        <v>582</v>
      </c>
      <c r="V696" s="364" t="s">
        <v>463</v>
      </c>
      <c r="W696" s="354">
        <f>Table6[[#This Row],[Breakdown Time]]*(1/39)</f>
        <v>0.16153846153846158</v>
      </c>
      <c r="X696" s="352" t="s">
        <v>467</v>
      </c>
      <c r="Y696" s="364" t="s">
        <v>124</v>
      </c>
      <c r="Z696" s="121">
        <v>21268</v>
      </c>
      <c r="AA696" s="123">
        <v>5582.8500000000013</v>
      </c>
      <c r="AB696" s="121" t="s">
        <v>478</v>
      </c>
    </row>
    <row r="697" spans="1:28">
      <c r="A697" s="121">
        <f t="shared" si="10"/>
        <v>696</v>
      </c>
      <c r="B697" s="123">
        <f>YEAR(Table6[[#This Row],[Date]])+IF(MONTH(Table6[[#This Row],[Date]])&gt;=4,1,0)</f>
        <v>2026</v>
      </c>
      <c r="C697" s="121">
        <f>YEAR(Table6[[#This Row],[Date]])</f>
        <v>2025</v>
      </c>
      <c r="D697" s="121" t="s">
        <v>490</v>
      </c>
      <c r="E697" s="135">
        <f>Table6[[#This Row],[Date]]-DAY(Table6[[#This Row],[Date]])+1</f>
        <v>45809</v>
      </c>
      <c r="F697" s="134">
        <v>45811</v>
      </c>
      <c r="G697" s="121" t="s">
        <v>133</v>
      </c>
      <c r="H697" s="39" t="str">
        <f>_xlfn.XLOOKUP(Table6[[#This Row],[Affected WTG]],'Basic Data'!$A:$A,'Basic Data'!$B:$B)</f>
        <v>PWEGPL</v>
      </c>
      <c r="I697" s="39" t="str">
        <f>_xlfn.XLOOKUP(Table6[[#This Row],[Affected WTG]],'Basic Data'!$A:$A,'Basic Data'!$C:$C)</f>
        <v>MSEDCL</v>
      </c>
      <c r="J697" s="363">
        <f>IFERROR(VLOOKUP(Table6[[#This Row],[Affected WTG]],'Basic Data'!$A$3:$E$56,5,0),"")</f>
        <v>2.564102564102564E-2</v>
      </c>
      <c r="K697" s="121">
        <v>2118</v>
      </c>
      <c r="L697" s="39" t="str">
        <f>IFERROR(VLOOKUP(Table6[[#This Row],[Error Code]],'Basic Data'!$T:$U,2,0),"")</f>
        <v>Bus Error - Interbus Failure</v>
      </c>
      <c r="M697" s="364" t="s">
        <v>462</v>
      </c>
      <c r="O697" s="365">
        <v>0.47222222222222221</v>
      </c>
      <c r="P697" s="365">
        <v>0.48402777777777778</v>
      </c>
      <c r="Q697" s="365">
        <v>0.48541666666666666</v>
      </c>
      <c r="R697" s="366">
        <f>IF(Table6[[#This Row],[Work Start TimeStamp]]="","",(Table6[[#This Row],[Work Start TimeStamp]]-Table6[[#This Row],[Fault Start TimeStamp]])*24)</f>
        <v>0.28333333333333366</v>
      </c>
      <c r="S697" s="377">
        <f>(Table6[[#This Row],[Fault Clearance time]]-Table6[[#This Row],[Work Start TimeStamp]])*24</f>
        <v>3.3333333333333215E-2</v>
      </c>
      <c r="T697" s="378">
        <f>(Table6[[#This Row],[Fault Clearance time]]-Table6[[#This Row],[Fault Start TimeStamp]])*24</f>
        <v>0.31666666666666687</v>
      </c>
      <c r="U697" s="364" t="s">
        <v>491</v>
      </c>
      <c r="V697" s="364" t="s">
        <v>463</v>
      </c>
      <c r="W697" s="354">
        <f>Table6[[#This Row],[Breakdown Time]]*(1/39)</f>
        <v>8.1196581196581255E-3</v>
      </c>
      <c r="X697" s="352" t="s">
        <v>465</v>
      </c>
      <c r="Y697" s="364" t="s">
        <v>132</v>
      </c>
      <c r="Z697" s="121">
        <v>21657</v>
      </c>
      <c r="AA697" s="123">
        <v>285.75208333333353</v>
      </c>
      <c r="AB697" s="121" t="s">
        <v>478</v>
      </c>
    </row>
    <row r="698" spans="1:28">
      <c r="A698" s="121">
        <f t="shared" si="10"/>
        <v>697</v>
      </c>
      <c r="B698" s="123">
        <f>YEAR(Table6[[#This Row],[Date]])+IF(MONTH(Table6[[#This Row],[Date]])&gt;=4,1,0)</f>
        <v>2026</v>
      </c>
      <c r="C698" s="121">
        <f>YEAR(Table6[[#This Row],[Date]])</f>
        <v>2025</v>
      </c>
      <c r="D698" s="121" t="s">
        <v>490</v>
      </c>
      <c r="E698" s="135">
        <f>Table6[[#This Row],[Date]]-DAY(Table6[[#This Row],[Date]])+1</f>
        <v>45809</v>
      </c>
      <c r="F698" s="134">
        <v>45811</v>
      </c>
      <c r="G698" s="121" t="s">
        <v>134</v>
      </c>
      <c r="H698" s="39" t="str">
        <f>_xlfn.XLOOKUP(Table6[[#This Row],[Affected WTG]],'Basic Data'!$A:$A,'Basic Data'!$B:$B)</f>
        <v>PWEGPL</v>
      </c>
      <c r="I698" s="39" t="str">
        <f>_xlfn.XLOOKUP(Table6[[#This Row],[Affected WTG]],'Basic Data'!$A:$A,'Basic Data'!$C:$C)</f>
        <v>MSEDCL</v>
      </c>
      <c r="J698" s="363">
        <f>IFERROR(VLOOKUP(Table6[[#This Row],[Affected WTG]],'Basic Data'!$A$3:$E$56,5,0),"")</f>
        <v>2.564102564102564E-2</v>
      </c>
      <c r="K698" s="121">
        <v>5203</v>
      </c>
      <c r="L698" s="39" t="str">
        <f>IFERROR(VLOOKUP(Table6[[#This Row],[Error Code]],'Basic Data'!$T:$U,2,0),"")</f>
        <v>Heating/Coolant Thermal Magnetic Failure</v>
      </c>
      <c r="M698" s="364" t="s">
        <v>462</v>
      </c>
      <c r="O698" s="365">
        <v>0.40625</v>
      </c>
      <c r="P698" s="365">
        <v>0.45902777777777776</v>
      </c>
      <c r="Q698" s="365">
        <v>0.5083333333333333</v>
      </c>
      <c r="R698" s="366">
        <f>IF(Table6[[#This Row],[Work Start TimeStamp]]="","",(Table6[[#This Row],[Work Start TimeStamp]]-Table6[[#This Row],[Fault Start TimeStamp]])*24)</f>
        <v>1.2666666666666662</v>
      </c>
      <c r="S698" s="377">
        <f>(Table6[[#This Row],[Fault Clearance time]]-Table6[[#This Row],[Work Start TimeStamp]])*24</f>
        <v>1.1833333333333331</v>
      </c>
      <c r="T698" s="378">
        <f>(Table6[[#This Row],[Fault Clearance time]]-Table6[[#This Row],[Fault Start TimeStamp]])*24</f>
        <v>2.4499999999999993</v>
      </c>
      <c r="U698" s="364" t="s">
        <v>1208</v>
      </c>
      <c r="V698" s="364" t="s">
        <v>463</v>
      </c>
      <c r="W698" s="354">
        <f>Table6[[#This Row],[Breakdown Time]]*(1/39)</f>
        <v>6.2820512820512805E-2</v>
      </c>
      <c r="X698" s="352" t="s">
        <v>465</v>
      </c>
      <c r="Y698" s="364" t="s">
        <v>132</v>
      </c>
      <c r="Z698" s="121">
        <v>21657</v>
      </c>
      <c r="AA698" s="123">
        <v>2210.8187499999995</v>
      </c>
      <c r="AB698" s="121" t="s">
        <v>478</v>
      </c>
    </row>
    <row r="699" spans="1:28">
      <c r="A699" s="121">
        <f t="shared" si="10"/>
        <v>698</v>
      </c>
      <c r="B699" s="123">
        <f>YEAR(Table6[[#This Row],[Date]])+IF(MONTH(Table6[[#This Row],[Date]])&gt;=4,1,0)</f>
        <v>2026</v>
      </c>
      <c r="C699" s="121">
        <f>YEAR(Table6[[#This Row],[Date]])</f>
        <v>2025</v>
      </c>
      <c r="D699" s="121" t="s">
        <v>490</v>
      </c>
      <c r="E699" s="135">
        <f>Table6[[#This Row],[Date]]-DAY(Table6[[#This Row],[Date]])+1</f>
        <v>45809</v>
      </c>
      <c r="F699" s="134">
        <v>45811</v>
      </c>
      <c r="G699" s="121" t="s">
        <v>148</v>
      </c>
      <c r="H699" s="39" t="str">
        <f>_xlfn.XLOOKUP(Table6[[#This Row],[Affected WTG]],'Basic Data'!$A:$A,'Basic Data'!$B:$B)</f>
        <v>PWEGPL</v>
      </c>
      <c r="I699" s="39" t="str">
        <f>_xlfn.XLOOKUP(Table6[[#This Row],[Affected WTG]],'Basic Data'!$A:$A,'Basic Data'!$C:$C)</f>
        <v>MSEDCL</v>
      </c>
      <c r="J699" s="363">
        <f>IFERROR(VLOOKUP(Table6[[#This Row],[Affected WTG]],'Basic Data'!$A$3:$E$56,5,0),"")</f>
        <v>2.564102564102564E-2</v>
      </c>
      <c r="K699" s="121">
        <v>118</v>
      </c>
      <c r="L699" s="39" t="str">
        <f>IFERROR(VLOOKUP(Table6[[#This Row],[Error Code]],'Basic Data'!$T:$U,2,0),"")</f>
        <v>Yaw Motors Error</v>
      </c>
      <c r="M699" s="364" t="s">
        <v>462</v>
      </c>
      <c r="O699" s="365">
        <v>0.61458333333333337</v>
      </c>
      <c r="P699" s="365">
        <v>0.64583333333333337</v>
      </c>
      <c r="Q699" s="365">
        <v>0.67708333333333337</v>
      </c>
      <c r="R699" s="366">
        <f>IF(Table6[[#This Row],[Work Start TimeStamp]]="","",(Table6[[#This Row],[Work Start TimeStamp]]-Table6[[#This Row],[Fault Start TimeStamp]])*24)</f>
        <v>0.75</v>
      </c>
      <c r="S699" s="377">
        <f>(Table6[[#This Row],[Fault Clearance time]]-Table6[[#This Row],[Work Start TimeStamp]])*24</f>
        <v>0.75</v>
      </c>
      <c r="T699" s="378">
        <f>(Table6[[#This Row],[Fault Clearance time]]-Table6[[#This Row],[Fault Start TimeStamp]])*24</f>
        <v>1.5</v>
      </c>
      <c r="U699" s="364" t="s">
        <v>1209</v>
      </c>
      <c r="V699" s="364" t="s">
        <v>463</v>
      </c>
      <c r="W699" s="354">
        <f>Table6[[#This Row],[Breakdown Time]]*(1/39)</f>
        <v>3.8461538461538464E-2</v>
      </c>
      <c r="X699" s="352" t="s">
        <v>465</v>
      </c>
      <c r="Y699" s="364" t="s">
        <v>149</v>
      </c>
      <c r="Z699" s="121">
        <v>18037</v>
      </c>
      <c r="AA699" s="123">
        <v>1127.3125</v>
      </c>
      <c r="AB699" s="121" t="s">
        <v>478</v>
      </c>
    </row>
    <row r="700" spans="1:28">
      <c r="A700" s="121">
        <f t="shared" si="10"/>
        <v>699</v>
      </c>
      <c r="B700" s="123">
        <f>YEAR(Table6[[#This Row],[Date]])+IF(MONTH(Table6[[#This Row],[Date]])&gt;=4,1,0)</f>
        <v>2026</v>
      </c>
      <c r="C700" s="121">
        <f>YEAR(Table6[[#This Row],[Date]])</f>
        <v>2025</v>
      </c>
      <c r="D700" s="121" t="s">
        <v>490</v>
      </c>
      <c r="E700" s="135">
        <f>Table6[[#This Row],[Date]]-DAY(Table6[[#This Row],[Date]])+1</f>
        <v>45809</v>
      </c>
      <c r="F700" s="134">
        <v>45811</v>
      </c>
      <c r="G700" s="121" t="s">
        <v>152</v>
      </c>
      <c r="H700" s="39" t="str">
        <f>_xlfn.XLOOKUP(Table6[[#This Row],[Affected WTG]],'Basic Data'!$A:$A,'Basic Data'!$B:$B)</f>
        <v>PWEGPL</v>
      </c>
      <c r="I700" s="39" t="str">
        <f>_xlfn.XLOOKUP(Table6[[#This Row],[Affected WTG]],'Basic Data'!$A:$A,'Basic Data'!$C:$C)</f>
        <v>MSEDCL</v>
      </c>
      <c r="J700" s="363">
        <f>IFERROR(VLOOKUP(Table6[[#This Row],[Affected WTG]],'Basic Data'!$A$3:$E$56,5,0),"")</f>
        <v>2.564102564102564E-2</v>
      </c>
      <c r="K700" s="121">
        <v>5201</v>
      </c>
      <c r="L700" s="39" t="str">
        <f>IFERROR(VLOOKUP(Table6[[#This Row],[Error Code]],'Basic Data'!$T:$U,2,0),"")</f>
        <v>Magnetothermic Trigger Of The Stator Protection</v>
      </c>
      <c r="M700" s="364" t="s">
        <v>462</v>
      </c>
      <c r="O700" s="365">
        <v>0.65625</v>
      </c>
      <c r="P700" s="365">
        <v>0.6875</v>
      </c>
      <c r="Q700" s="365">
        <v>0.68819444444444444</v>
      </c>
      <c r="R700" s="366">
        <f>IF(Table6[[#This Row],[Work Start TimeStamp]]="","",(Table6[[#This Row],[Work Start TimeStamp]]-Table6[[#This Row],[Fault Start TimeStamp]])*24)</f>
        <v>0.75</v>
      </c>
      <c r="S700" s="377">
        <f>(Table6[[#This Row],[Fault Clearance time]]-Table6[[#This Row],[Work Start TimeStamp]])*24</f>
        <v>1.6666666666666607E-2</v>
      </c>
      <c r="T700" s="378">
        <f>(Table6[[#This Row],[Fault Clearance time]]-Table6[[#This Row],[Fault Start TimeStamp]])*24</f>
        <v>0.76666666666666661</v>
      </c>
      <c r="U700" s="364" t="s">
        <v>493</v>
      </c>
      <c r="V700" s="364" t="s">
        <v>463</v>
      </c>
      <c r="W700" s="354">
        <f>Table6[[#This Row],[Breakdown Time]]*(1/39)</f>
        <v>1.9658119658119654E-2</v>
      </c>
      <c r="X700" s="352" t="s">
        <v>465</v>
      </c>
      <c r="Y700" s="364" t="s">
        <v>153</v>
      </c>
      <c r="Z700" s="121">
        <v>18076</v>
      </c>
      <c r="AA700" s="123">
        <v>577.42777777777769</v>
      </c>
      <c r="AB700" s="121" t="s">
        <v>478</v>
      </c>
    </row>
    <row r="701" spans="1:28">
      <c r="A701" s="121">
        <f t="shared" si="10"/>
        <v>700</v>
      </c>
      <c r="B701" s="123">
        <f>YEAR(Table6[[#This Row],[Date]])+IF(MONTH(Table6[[#This Row],[Date]])&gt;=4,1,0)</f>
        <v>2026</v>
      </c>
      <c r="C701" s="121">
        <f>YEAR(Table6[[#This Row],[Date]])</f>
        <v>2025</v>
      </c>
      <c r="D701" s="121" t="s">
        <v>490</v>
      </c>
      <c r="E701" s="135">
        <f>Table6[[#This Row],[Date]]-DAY(Table6[[#This Row],[Date]])+1</f>
        <v>45809</v>
      </c>
      <c r="F701" s="134">
        <v>45812</v>
      </c>
      <c r="G701" s="121" t="s">
        <v>144</v>
      </c>
      <c r="H701" s="39" t="str">
        <f>_xlfn.XLOOKUP(Table6[[#This Row],[Affected WTG]],'Basic Data'!$A:$A,'Basic Data'!$B:$B)</f>
        <v>PWEGPL</v>
      </c>
      <c r="I701" s="39" t="str">
        <f>_xlfn.XLOOKUP(Table6[[#This Row],[Affected WTG]],'Basic Data'!$A:$A,'Basic Data'!$C:$C)</f>
        <v>MSEDCL</v>
      </c>
      <c r="J701" s="363">
        <f>IFERROR(VLOOKUP(Table6[[#This Row],[Affected WTG]],'Basic Data'!$A$3:$E$56,5,0),"")</f>
        <v>2.564102564102564E-2</v>
      </c>
      <c r="K701" s="121" t="s">
        <v>492</v>
      </c>
      <c r="L701" s="39" t="str">
        <f>IFERROR(VLOOKUP(Table6[[#This Row],[Error Code]],'Basic Data'!$T:$U,2,0),"")</f>
        <v>Manual Stop - Safety Related</v>
      </c>
      <c r="M701" s="364" t="s">
        <v>481</v>
      </c>
      <c r="O701" s="365">
        <v>0</v>
      </c>
      <c r="P701" s="365">
        <v>0.99998842592592596</v>
      </c>
      <c r="Q701" s="365">
        <v>0.99998842592592596</v>
      </c>
      <c r="R701" s="366">
        <f>IF(Table6[[#This Row],[Work Start TimeStamp]]="","",(Table6[[#This Row],[Work Start TimeStamp]]-Table6[[#This Row],[Fault Start TimeStamp]])*24)</f>
        <v>23.999722222222225</v>
      </c>
      <c r="S701" s="377">
        <f>(Table6[[#This Row],[Fault Clearance time]]-Table6[[#This Row],[Work Start TimeStamp]])*24</f>
        <v>0</v>
      </c>
      <c r="T701" s="378">
        <f>(Table6[[#This Row],[Fault Clearance time]]-Table6[[#This Row],[Fault Start TimeStamp]])*24</f>
        <v>23.999722222222225</v>
      </c>
      <c r="U701" s="364" t="s">
        <v>498</v>
      </c>
      <c r="V701" s="364" t="s">
        <v>473</v>
      </c>
      <c r="W701" s="354">
        <f>Table6[[#This Row],[Breakdown Time]]*(1/39)</f>
        <v>0.61537749287749288</v>
      </c>
      <c r="X701" s="352" t="s">
        <v>468</v>
      </c>
      <c r="Y701" s="364" t="s">
        <v>141</v>
      </c>
      <c r="Z701" s="121">
        <v>2356</v>
      </c>
      <c r="AA701" s="123">
        <v>2355.9727314814818</v>
      </c>
      <c r="AB701" s="121" t="s">
        <v>478</v>
      </c>
    </row>
    <row r="702" spans="1:28">
      <c r="A702" s="121">
        <f t="shared" si="10"/>
        <v>701</v>
      </c>
      <c r="B702" s="123">
        <f>YEAR(Table6[[#This Row],[Date]])+IF(MONTH(Table6[[#This Row],[Date]])&gt;=4,1,0)</f>
        <v>2026</v>
      </c>
      <c r="C702" s="121">
        <f>YEAR(Table6[[#This Row],[Date]])</f>
        <v>2025</v>
      </c>
      <c r="D702" s="121" t="s">
        <v>490</v>
      </c>
      <c r="E702" s="135">
        <f>Table6[[#This Row],[Date]]-DAY(Table6[[#This Row],[Date]])+1</f>
        <v>45809</v>
      </c>
      <c r="F702" s="134">
        <v>45812</v>
      </c>
      <c r="G702" s="121" t="s">
        <v>142</v>
      </c>
      <c r="H702" s="39" t="str">
        <f>_xlfn.XLOOKUP(Table6[[#This Row],[Affected WTG]],'Basic Data'!$A:$A,'Basic Data'!$B:$B)</f>
        <v>PWEGPL</v>
      </c>
      <c r="I702" s="39" t="str">
        <f>_xlfn.XLOOKUP(Table6[[#This Row],[Affected WTG]],'Basic Data'!$A:$A,'Basic Data'!$C:$C)</f>
        <v>MSEDCL</v>
      </c>
      <c r="J702" s="363">
        <f>IFERROR(VLOOKUP(Table6[[#This Row],[Affected WTG]],'Basic Data'!$A$3:$E$56,5,0),"")</f>
        <v>2.564102564102564E-2</v>
      </c>
      <c r="K702" s="121" t="s">
        <v>492</v>
      </c>
      <c r="L702" s="39" t="str">
        <f>IFERROR(VLOOKUP(Table6[[#This Row],[Error Code]],'Basic Data'!$T:$U,2,0),"")</f>
        <v>Manual Stop - Safety Related</v>
      </c>
      <c r="M702" s="364" t="s">
        <v>481</v>
      </c>
      <c r="O702" s="365">
        <v>0</v>
      </c>
      <c r="P702" s="365">
        <v>0.99998842592592596</v>
      </c>
      <c r="Q702" s="365">
        <v>0.99998842592592596</v>
      </c>
      <c r="R702" s="366">
        <f>IF(Table6[[#This Row],[Work Start TimeStamp]]="","",(Table6[[#This Row],[Work Start TimeStamp]]-Table6[[#This Row],[Fault Start TimeStamp]])*24)</f>
        <v>23.999722222222225</v>
      </c>
      <c r="S702" s="377">
        <f>(Table6[[#This Row],[Fault Clearance time]]-Table6[[#This Row],[Work Start TimeStamp]])*24</f>
        <v>0</v>
      </c>
      <c r="T702" s="378">
        <f>(Table6[[#This Row],[Fault Clearance time]]-Table6[[#This Row],[Fault Start TimeStamp]])*24</f>
        <v>23.999722222222225</v>
      </c>
      <c r="U702" s="364" t="s">
        <v>498</v>
      </c>
      <c r="V702" s="364" t="s">
        <v>473</v>
      </c>
      <c r="W702" s="354">
        <f>Table6[[#This Row],[Breakdown Time]]*(1/39)</f>
        <v>0.61537749287749288</v>
      </c>
      <c r="X702" s="352" t="s">
        <v>468</v>
      </c>
      <c r="Y702" s="364" t="s">
        <v>141</v>
      </c>
      <c r="Z702" s="121">
        <v>2356</v>
      </c>
      <c r="AA702" s="123">
        <v>2355.9727314814818</v>
      </c>
      <c r="AB702" s="121" t="s">
        <v>478</v>
      </c>
    </row>
    <row r="703" spans="1:28">
      <c r="A703" s="121">
        <f t="shared" si="10"/>
        <v>702</v>
      </c>
      <c r="B703" s="123">
        <f>YEAR(Table6[[#This Row],[Date]])+IF(MONTH(Table6[[#This Row],[Date]])&gt;=4,1,0)</f>
        <v>2026</v>
      </c>
      <c r="C703" s="121">
        <f>YEAR(Table6[[#This Row],[Date]])</f>
        <v>2025</v>
      </c>
      <c r="D703" s="121" t="s">
        <v>490</v>
      </c>
      <c r="E703" s="135">
        <f>Table6[[#This Row],[Date]]-DAY(Table6[[#This Row],[Date]])+1</f>
        <v>45809</v>
      </c>
      <c r="F703" s="134">
        <v>45812</v>
      </c>
      <c r="G703" s="121" t="s">
        <v>140</v>
      </c>
      <c r="H703" s="39" t="str">
        <f>_xlfn.XLOOKUP(Table6[[#This Row],[Affected WTG]],'Basic Data'!$A:$A,'Basic Data'!$B:$B)</f>
        <v>PWEGPL</v>
      </c>
      <c r="I703" s="39" t="str">
        <f>_xlfn.XLOOKUP(Table6[[#This Row],[Affected WTG]],'Basic Data'!$A:$A,'Basic Data'!$C:$C)</f>
        <v>MSEDCL</v>
      </c>
      <c r="J703" s="363">
        <f>IFERROR(VLOOKUP(Table6[[#This Row],[Affected WTG]],'Basic Data'!$A$3:$E$56,5,0),"")</f>
        <v>2.564102564102564E-2</v>
      </c>
      <c r="K703" s="121" t="s">
        <v>466</v>
      </c>
      <c r="L703" s="39" t="str">
        <f>IFERROR(VLOOKUP(Table6[[#This Row],[Error Code]],'Basic Data'!$T:$U,2,0),"")</f>
        <v>Manual Stop</v>
      </c>
      <c r="M703" s="364" t="s">
        <v>479</v>
      </c>
      <c r="O703" s="365">
        <v>0.46875</v>
      </c>
      <c r="P703" s="365">
        <v>0.46875</v>
      </c>
      <c r="Q703" s="365">
        <v>0.50694444444444442</v>
      </c>
      <c r="R703" s="366">
        <f>IF(Table6[[#This Row],[Work Start TimeStamp]]="","",(Table6[[#This Row],[Work Start TimeStamp]]-Table6[[#This Row],[Fault Start TimeStamp]])*24)</f>
        <v>0</v>
      </c>
      <c r="S703" s="377">
        <f>(Table6[[#This Row],[Fault Clearance time]]-Table6[[#This Row],[Work Start TimeStamp]])*24</f>
        <v>0.91666666666666607</v>
      </c>
      <c r="T703" s="378">
        <f>(Table6[[#This Row],[Fault Clearance time]]-Table6[[#This Row],[Fault Start TimeStamp]])*24</f>
        <v>0.91666666666666607</v>
      </c>
      <c r="U703" s="364" t="s">
        <v>1213</v>
      </c>
      <c r="V703" s="364" t="s">
        <v>463</v>
      </c>
      <c r="W703" s="354">
        <f>Table6[[#This Row],[Breakdown Time]]*(1/39)</f>
        <v>2.3504273504273487E-2</v>
      </c>
      <c r="X703" s="352" t="s">
        <v>464</v>
      </c>
      <c r="Y703" s="364" t="s">
        <v>138</v>
      </c>
      <c r="Z703" s="121">
        <v>2365</v>
      </c>
      <c r="AA703" s="123">
        <v>90.329861111111057</v>
      </c>
      <c r="AB703" s="121" t="s">
        <v>478</v>
      </c>
    </row>
    <row r="704" spans="1:28">
      <c r="A704" s="121">
        <f t="shared" si="10"/>
        <v>703</v>
      </c>
      <c r="B704" s="123">
        <f>YEAR(Table6[[#This Row],[Date]])+IF(MONTH(Table6[[#This Row],[Date]])&gt;=4,1,0)</f>
        <v>2026</v>
      </c>
      <c r="C704" s="121">
        <f>YEAR(Table6[[#This Row],[Date]])</f>
        <v>2025</v>
      </c>
      <c r="D704" s="121" t="s">
        <v>490</v>
      </c>
      <c r="E704" s="135">
        <f>Table6[[#This Row],[Date]]-DAY(Table6[[#This Row],[Date]])+1</f>
        <v>45809</v>
      </c>
      <c r="F704" s="134">
        <v>45812</v>
      </c>
      <c r="G704" s="121" t="s">
        <v>147</v>
      </c>
      <c r="H704" s="39" t="str">
        <f>_xlfn.XLOOKUP(Table6[[#This Row],[Affected WTG]],'Basic Data'!$A:$A,'Basic Data'!$B:$B)</f>
        <v>PWEGPL</v>
      </c>
      <c r="I704" s="39" t="str">
        <f>_xlfn.XLOOKUP(Table6[[#This Row],[Affected WTG]],'Basic Data'!$A:$A,'Basic Data'!$C:$C)</f>
        <v>MSEDCL</v>
      </c>
      <c r="J704" s="363">
        <f>IFERROR(VLOOKUP(Table6[[#This Row],[Affected WTG]],'Basic Data'!$A$3:$E$56,5,0),"")</f>
        <v>2.564102564102564E-2</v>
      </c>
      <c r="K704" s="121" t="s">
        <v>466</v>
      </c>
      <c r="L704" s="39" t="str">
        <f>IFERROR(VLOOKUP(Table6[[#This Row],[Error Code]],'Basic Data'!$T:$U,2,0),"")</f>
        <v>Manual Stop</v>
      </c>
      <c r="M704" s="364" t="s">
        <v>479</v>
      </c>
      <c r="O704" s="365">
        <v>0.47083333333333333</v>
      </c>
      <c r="P704" s="365">
        <v>0.47083333333333333</v>
      </c>
      <c r="Q704" s="365">
        <v>0.50694444444444442</v>
      </c>
      <c r="R704" s="366">
        <f>IF(Table6[[#This Row],[Work Start TimeStamp]]="","",(Table6[[#This Row],[Work Start TimeStamp]]-Table6[[#This Row],[Fault Start TimeStamp]])*24)</f>
        <v>0</v>
      </c>
      <c r="S704" s="377">
        <f>(Table6[[#This Row],[Fault Clearance time]]-Table6[[#This Row],[Work Start TimeStamp]])*24</f>
        <v>0.86666666666666625</v>
      </c>
      <c r="T704" s="378">
        <f>(Table6[[#This Row],[Fault Clearance time]]-Table6[[#This Row],[Fault Start TimeStamp]])*24</f>
        <v>0.86666666666666625</v>
      </c>
      <c r="U704" s="364" t="s">
        <v>1213</v>
      </c>
      <c r="V704" s="364" t="s">
        <v>463</v>
      </c>
      <c r="W704" s="354">
        <f>Table6[[#This Row],[Breakdown Time]]*(1/39)</f>
        <v>2.2222222222222209E-2</v>
      </c>
      <c r="X704" s="352" t="s">
        <v>464</v>
      </c>
      <c r="Y704" s="364" t="s">
        <v>147</v>
      </c>
      <c r="Z704" s="121">
        <v>3054</v>
      </c>
      <c r="AA704" s="123">
        <v>110.28333333333327</v>
      </c>
      <c r="AB704" s="121" t="s">
        <v>478</v>
      </c>
    </row>
    <row r="705" spans="1:28">
      <c r="A705" s="121">
        <f t="shared" si="10"/>
        <v>704</v>
      </c>
      <c r="B705" s="123">
        <f>YEAR(Table6[[#This Row],[Date]])+IF(MONTH(Table6[[#This Row],[Date]])&gt;=4,1,0)</f>
        <v>2026</v>
      </c>
      <c r="C705" s="121">
        <f>YEAR(Table6[[#This Row],[Date]])</f>
        <v>2025</v>
      </c>
      <c r="D705" s="121" t="s">
        <v>490</v>
      </c>
      <c r="E705" s="135">
        <f>Table6[[#This Row],[Date]]-DAY(Table6[[#This Row],[Date]])+1</f>
        <v>45809</v>
      </c>
      <c r="F705" s="134">
        <v>45812</v>
      </c>
      <c r="G705" s="121" t="s">
        <v>135</v>
      </c>
      <c r="H705" s="39" t="str">
        <f>_xlfn.XLOOKUP(Table6[[#This Row],[Affected WTG]],'Basic Data'!$A:$A,'Basic Data'!$B:$B)</f>
        <v>PWEGPL</v>
      </c>
      <c r="I705" s="39" t="str">
        <f>_xlfn.XLOOKUP(Table6[[#This Row],[Affected WTG]],'Basic Data'!$A:$A,'Basic Data'!$C:$C)</f>
        <v>MSEDCL</v>
      </c>
      <c r="J705" s="363">
        <f>IFERROR(VLOOKUP(Table6[[#This Row],[Affected WTG]],'Basic Data'!$A$3:$E$56,5,0),"")</f>
        <v>2.564102564102564E-2</v>
      </c>
      <c r="K705" s="121">
        <v>2100</v>
      </c>
      <c r="L705" s="39" t="str">
        <f>IFERROR(VLOOKUP(Table6[[#This Row],[Error Code]],'Basic Data'!$T:$U,2,0),"")</f>
        <v>PLC Voltage Recovery</v>
      </c>
      <c r="M705" s="364" t="s">
        <v>462</v>
      </c>
      <c r="O705" s="365">
        <v>0.87152777777777779</v>
      </c>
      <c r="P705" s="365">
        <v>0.88541666666666663</v>
      </c>
      <c r="Q705" s="365">
        <v>0.88611111111111107</v>
      </c>
      <c r="R705" s="366">
        <f>IF(Table6[[#This Row],[Work Start TimeStamp]]="","",(Table6[[#This Row],[Work Start TimeStamp]]-Table6[[#This Row],[Fault Start TimeStamp]])*24)</f>
        <v>0.33333333333333215</v>
      </c>
      <c r="S705" s="377">
        <f>(Table6[[#This Row],[Fault Clearance time]]-Table6[[#This Row],[Work Start TimeStamp]])*24</f>
        <v>1.6666666666666607E-2</v>
      </c>
      <c r="T705" s="378">
        <f>(Table6[[#This Row],[Fault Clearance time]]-Table6[[#This Row],[Fault Start TimeStamp]])*24</f>
        <v>0.34999999999999876</v>
      </c>
      <c r="U705" s="364" t="s">
        <v>493</v>
      </c>
      <c r="V705" s="364" t="s">
        <v>463</v>
      </c>
      <c r="W705" s="354">
        <f>Table6[[#This Row],[Breakdown Time]]*(1/39)</f>
        <v>8.9743589743589425E-3</v>
      </c>
      <c r="X705" s="352" t="s">
        <v>465</v>
      </c>
      <c r="Y705" s="364" t="s">
        <v>136</v>
      </c>
      <c r="Z705" s="121">
        <v>2356</v>
      </c>
      <c r="AA705" s="123">
        <v>34.358333333333213</v>
      </c>
      <c r="AB705" s="121" t="s">
        <v>478</v>
      </c>
    </row>
    <row r="706" spans="1:28">
      <c r="A706" s="121">
        <f t="shared" si="10"/>
        <v>705</v>
      </c>
      <c r="B706" s="123">
        <f>YEAR(Table6[[#This Row],[Date]])+IF(MONTH(Table6[[#This Row],[Date]])&gt;=4,1,0)</f>
        <v>2026</v>
      </c>
      <c r="C706" s="121">
        <f>YEAR(Table6[[#This Row],[Date]])</f>
        <v>2025</v>
      </c>
      <c r="D706" s="121" t="s">
        <v>490</v>
      </c>
      <c r="E706" s="135">
        <f>Table6[[#This Row],[Date]]-DAY(Table6[[#This Row],[Date]])+1</f>
        <v>45809</v>
      </c>
      <c r="F706" s="134">
        <v>45812</v>
      </c>
      <c r="G706" s="121" t="s">
        <v>137</v>
      </c>
      <c r="H706" s="39" t="str">
        <f>_xlfn.XLOOKUP(Table6[[#This Row],[Affected WTG]],'Basic Data'!$A:$A,'Basic Data'!$B:$B)</f>
        <v>PWEGPL</v>
      </c>
      <c r="I706" s="39" t="str">
        <f>_xlfn.XLOOKUP(Table6[[#This Row],[Affected WTG]],'Basic Data'!$A:$A,'Basic Data'!$C:$C)</f>
        <v>MSEDCL</v>
      </c>
      <c r="J706" s="363">
        <f>IFERROR(VLOOKUP(Table6[[#This Row],[Affected WTG]],'Basic Data'!$A$3:$E$56,5,0),"")</f>
        <v>2.564102564102564E-2</v>
      </c>
      <c r="K706" s="121">
        <v>2100</v>
      </c>
      <c r="L706" s="39" t="str">
        <f>IFERROR(VLOOKUP(Table6[[#This Row],[Error Code]],'Basic Data'!$T:$U,2,0),"")</f>
        <v>PLC Voltage Recovery</v>
      </c>
      <c r="M706" s="364" t="s">
        <v>462</v>
      </c>
      <c r="O706" s="365">
        <v>0.87152777777777779</v>
      </c>
      <c r="P706" s="365">
        <v>0.89583333333333337</v>
      </c>
      <c r="Q706" s="365">
        <v>0.89652777777777781</v>
      </c>
      <c r="R706" s="366">
        <f>IF(Table6[[#This Row],[Work Start TimeStamp]]="","",(Table6[[#This Row],[Work Start TimeStamp]]-Table6[[#This Row],[Fault Start TimeStamp]])*24)</f>
        <v>0.58333333333333393</v>
      </c>
      <c r="S706" s="377">
        <f>(Table6[[#This Row],[Fault Clearance time]]-Table6[[#This Row],[Work Start TimeStamp]])*24</f>
        <v>1.6666666666666607E-2</v>
      </c>
      <c r="T706" s="378">
        <f>(Table6[[#This Row],[Fault Clearance time]]-Table6[[#This Row],[Fault Start TimeStamp]])*24</f>
        <v>0.60000000000000053</v>
      </c>
      <c r="U706" s="364" t="s">
        <v>493</v>
      </c>
      <c r="V706" s="364" t="s">
        <v>463</v>
      </c>
      <c r="W706" s="354">
        <f>Table6[[#This Row],[Breakdown Time]]*(1/39)</f>
        <v>1.5384615384615398E-2</v>
      </c>
      <c r="X706" s="352" t="s">
        <v>465</v>
      </c>
      <c r="Y706" s="364" t="s">
        <v>136</v>
      </c>
      <c r="Z706" s="121">
        <v>2356</v>
      </c>
      <c r="AA706" s="123">
        <v>58.900000000000055</v>
      </c>
      <c r="AB706" s="121" t="s">
        <v>478</v>
      </c>
    </row>
    <row r="707" spans="1:28">
      <c r="A707" s="121">
        <f t="shared" si="10"/>
        <v>706</v>
      </c>
      <c r="B707" s="123">
        <f>YEAR(Table6[[#This Row],[Date]])+IF(MONTH(Table6[[#This Row],[Date]])&gt;=4,1,0)</f>
        <v>2026</v>
      </c>
      <c r="C707" s="121">
        <f>YEAR(Table6[[#This Row],[Date]])</f>
        <v>2025</v>
      </c>
      <c r="D707" s="121" t="s">
        <v>490</v>
      </c>
      <c r="E707" s="135">
        <f>Table6[[#This Row],[Date]]-DAY(Table6[[#This Row],[Date]])+1</f>
        <v>45809</v>
      </c>
      <c r="F707" s="134">
        <v>45812</v>
      </c>
      <c r="G707" s="121" t="s">
        <v>140</v>
      </c>
      <c r="H707" s="39" t="str">
        <f>_xlfn.XLOOKUP(Table6[[#This Row],[Affected WTG]],'Basic Data'!$A:$A,'Basic Data'!$B:$B)</f>
        <v>PWEGPL</v>
      </c>
      <c r="I707" s="39" t="str">
        <f>_xlfn.XLOOKUP(Table6[[#This Row],[Affected WTG]],'Basic Data'!$A:$A,'Basic Data'!$C:$C)</f>
        <v>MSEDCL</v>
      </c>
      <c r="J707" s="363">
        <f>IFERROR(VLOOKUP(Table6[[#This Row],[Affected WTG]],'Basic Data'!$A$3:$E$56,5,0),"")</f>
        <v>2.564102564102564E-2</v>
      </c>
      <c r="K707" s="121">
        <v>2100</v>
      </c>
      <c r="L707" s="39" t="str">
        <f>IFERROR(VLOOKUP(Table6[[#This Row],[Error Code]],'Basic Data'!$T:$U,2,0),"")</f>
        <v>PLC Voltage Recovery</v>
      </c>
      <c r="M707" s="364" t="s">
        <v>462</v>
      </c>
      <c r="O707" s="365">
        <v>0.87152777777777779</v>
      </c>
      <c r="P707" s="365">
        <v>0.90625</v>
      </c>
      <c r="Q707" s="365">
        <v>0.90694444444444444</v>
      </c>
      <c r="R707" s="366">
        <f>IF(Table6[[#This Row],[Work Start TimeStamp]]="","",(Table6[[#This Row],[Work Start TimeStamp]]-Table6[[#This Row],[Fault Start TimeStamp]])*24)</f>
        <v>0.83333333333333304</v>
      </c>
      <c r="S707" s="377">
        <f>(Table6[[#This Row],[Fault Clearance time]]-Table6[[#This Row],[Work Start TimeStamp]])*24</f>
        <v>1.6666666666666607E-2</v>
      </c>
      <c r="T707" s="378">
        <f>(Table6[[#This Row],[Fault Clearance time]]-Table6[[#This Row],[Fault Start TimeStamp]])*24</f>
        <v>0.84999999999999964</v>
      </c>
      <c r="U707" s="364" t="s">
        <v>493</v>
      </c>
      <c r="V707" s="364" t="s">
        <v>463</v>
      </c>
      <c r="W707" s="354">
        <f>Table6[[#This Row],[Breakdown Time]]*(1/39)</f>
        <v>2.1794871794871783E-2</v>
      </c>
      <c r="X707" s="352" t="s">
        <v>465</v>
      </c>
      <c r="Y707" s="364" t="s">
        <v>138</v>
      </c>
      <c r="Z707" s="121">
        <v>2365</v>
      </c>
      <c r="AA707" s="123">
        <v>83.760416666666629</v>
      </c>
      <c r="AB707" s="121" t="s">
        <v>478</v>
      </c>
    </row>
    <row r="708" spans="1:28">
      <c r="A708" s="121">
        <f t="shared" ref="A708:A771" si="11">A707+1</f>
        <v>707</v>
      </c>
      <c r="B708" s="123">
        <f>YEAR(Table6[[#This Row],[Date]])+IF(MONTH(Table6[[#This Row],[Date]])&gt;=4,1,0)</f>
        <v>2026</v>
      </c>
      <c r="C708" s="121">
        <f>YEAR(Table6[[#This Row],[Date]])</f>
        <v>2025</v>
      </c>
      <c r="D708" s="121" t="s">
        <v>490</v>
      </c>
      <c r="E708" s="135">
        <f>Table6[[#This Row],[Date]]-DAY(Table6[[#This Row],[Date]])+1</f>
        <v>45809</v>
      </c>
      <c r="F708" s="134">
        <v>45812</v>
      </c>
      <c r="G708" s="121" t="s">
        <v>138</v>
      </c>
      <c r="H708" s="39" t="str">
        <f>_xlfn.XLOOKUP(Table6[[#This Row],[Affected WTG]],'Basic Data'!$A:$A,'Basic Data'!$B:$B)</f>
        <v>PWEGPL</v>
      </c>
      <c r="I708" s="39" t="str">
        <f>_xlfn.XLOOKUP(Table6[[#This Row],[Affected WTG]],'Basic Data'!$A:$A,'Basic Data'!$C:$C)</f>
        <v>MSEDCL</v>
      </c>
      <c r="J708" s="363">
        <f>IFERROR(VLOOKUP(Table6[[#This Row],[Affected WTG]],'Basic Data'!$A$3:$E$56,5,0),"")</f>
        <v>2.564102564102564E-2</v>
      </c>
      <c r="K708" s="121">
        <v>2100</v>
      </c>
      <c r="L708" s="39" t="str">
        <f>IFERROR(VLOOKUP(Table6[[#This Row],[Error Code]],'Basic Data'!$T:$U,2,0),"")</f>
        <v>PLC Voltage Recovery</v>
      </c>
      <c r="M708" s="364" t="s">
        <v>462</v>
      </c>
      <c r="O708" s="365">
        <v>0.87152777777777779</v>
      </c>
      <c r="P708" s="365">
        <v>0.90972222222222221</v>
      </c>
      <c r="Q708" s="365">
        <v>0.91041666666666665</v>
      </c>
      <c r="R708" s="366">
        <f>IF(Table6[[#This Row],[Work Start TimeStamp]]="","",(Table6[[#This Row],[Work Start TimeStamp]]-Table6[[#This Row],[Fault Start TimeStamp]])*24)</f>
        <v>0.91666666666666607</v>
      </c>
      <c r="S708" s="377">
        <f>(Table6[[#This Row],[Fault Clearance time]]-Table6[[#This Row],[Work Start TimeStamp]])*24</f>
        <v>1.6666666666666607E-2</v>
      </c>
      <c r="T708" s="378">
        <f>(Table6[[#This Row],[Fault Clearance time]]-Table6[[#This Row],[Fault Start TimeStamp]])*24</f>
        <v>0.93333333333333268</v>
      </c>
      <c r="U708" s="364" t="s">
        <v>493</v>
      </c>
      <c r="V708" s="364" t="s">
        <v>463</v>
      </c>
      <c r="W708" s="354">
        <f>Table6[[#This Row],[Breakdown Time]]*(1/39)</f>
        <v>2.3931623931623913E-2</v>
      </c>
      <c r="X708" s="352" t="s">
        <v>465</v>
      </c>
      <c r="Y708" s="364" t="s">
        <v>140</v>
      </c>
      <c r="Z708" s="121">
        <v>2362</v>
      </c>
      <c r="AA708" s="123">
        <v>91.855555555555497</v>
      </c>
      <c r="AB708" s="121" t="s">
        <v>478</v>
      </c>
    </row>
    <row r="709" spans="1:28">
      <c r="A709" s="121">
        <f t="shared" si="11"/>
        <v>708</v>
      </c>
      <c r="B709" s="123">
        <f>YEAR(Table6[[#This Row],[Date]])+IF(MONTH(Table6[[#This Row],[Date]])&gt;=4,1,0)</f>
        <v>2026</v>
      </c>
      <c r="C709" s="121">
        <f>YEAR(Table6[[#This Row],[Date]])</f>
        <v>2025</v>
      </c>
      <c r="D709" s="121" t="s">
        <v>490</v>
      </c>
      <c r="E709" s="135">
        <f>Table6[[#This Row],[Date]]-DAY(Table6[[#This Row],[Date]])+1</f>
        <v>45809</v>
      </c>
      <c r="F709" s="134">
        <v>45812</v>
      </c>
      <c r="G709" s="121" t="s">
        <v>141</v>
      </c>
      <c r="H709" s="39" t="str">
        <f>_xlfn.XLOOKUP(Table6[[#This Row],[Affected WTG]],'Basic Data'!$A:$A,'Basic Data'!$B:$B)</f>
        <v>PWEGPL</v>
      </c>
      <c r="I709" s="39" t="str">
        <f>_xlfn.XLOOKUP(Table6[[#This Row],[Affected WTG]],'Basic Data'!$A:$A,'Basic Data'!$C:$C)</f>
        <v>MSEDCL</v>
      </c>
      <c r="J709" s="363">
        <f>IFERROR(VLOOKUP(Table6[[#This Row],[Affected WTG]],'Basic Data'!$A$3:$E$56,5,0),"")</f>
        <v>2.564102564102564E-2</v>
      </c>
      <c r="K709" s="121">
        <v>2100</v>
      </c>
      <c r="L709" s="39" t="str">
        <f>IFERROR(VLOOKUP(Table6[[#This Row],[Error Code]],'Basic Data'!$T:$U,2,0),"")</f>
        <v>PLC Voltage Recovery</v>
      </c>
      <c r="M709" s="364" t="s">
        <v>462</v>
      </c>
      <c r="O709" s="365">
        <v>0.87152777777777779</v>
      </c>
      <c r="P709" s="365">
        <v>0.91666666666666663</v>
      </c>
      <c r="Q709" s="365">
        <v>0.91736111111111107</v>
      </c>
      <c r="R709" s="366">
        <f>IF(Table6[[#This Row],[Work Start TimeStamp]]="","",(Table6[[#This Row],[Work Start TimeStamp]]-Table6[[#This Row],[Fault Start TimeStamp]])*24)</f>
        <v>1.0833333333333321</v>
      </c>
      <c r="S709" s="377">
        <f>(Table6[[#This Row],[Fault Clearance time]]-Table6[[#This Row],[Work Start TimeStamp]])*24</f>
        <v>1.6666666666666607E-2</v>
      </c>
      <c r="T709" s="378">
        <f>(Table6[[#This Row],[Fault Clearance time]]-Table6[[#This Row],[Fault Start TimeStamp]])*24</f>
        <v>1.0999999999999988</v>
      </c>
      <c r="U709" s="364" t="s">
        <v>493</v>
      </c>
      <c r="V709" s="364" t="s">
        <v>463</v>
      </c>
      <c r="W709" s="354">
        <f>Table6[[#This Row],[Breakdown Time]]*(1/39)</f>
        <v>2.8205128205128171E-2</v>
      </c>
      <c r="X709" s="352" t="s">
        <v>465</v>
      </c>
      <c r="Y709" s="364" t="s">
        <v>143</v>
      </c>
      <c r="Z709" s="121">
        <v>2372</v>
      </c>
      <c r="AA709" s="123">
        <v>108.71666666666654</v>
      </c>
      <c r="AB709" s="121" t="s">
        <v>478</v>
      </c>
    </row>
    <row r="710" spans="1:28">
      <c r="A710" s="121">
        <f t="shared" si="11"/>
        <v>709</v>
      </c>
      <c r="B710" s="379">
        <f>YEAR(Table6[[#This Row],[Date]])+IF(MONTH(Table6[[#This Row],[Date]])&gt;=4,1,0)</f>
        <v>2026</v>
      </c>
      <c r="C710" s="39">
        <f>YEAR(Table6[[#This Row],[Date]])</f>
        <v>2025</v>
      </c>
      <c r="D710" s="39" t="s">
        <v>490</v>
      </c>
      <c r="E710" s="135">
        <f>Table6[[#This Row],[Date]]-DAY(Table6[[#This Row],[Date]])+1</f>
        <v>45809</v>
      </c>
      <c r="F710" s="134">
        <v>45813</v>
      </c>
      <c r="G710" s="121" t="s">
        <v>144</v>
      </c>
      <c r="H710" s="39" t="str">
        <f>_xlfn.XLOOKUP(Table6[[#This Row],[Affected WTG]],'Basic Data'!$A:$A,'Basic Data'!$B:$B)</f>
        <v>PWEGPL</v>
      </c>
      <c r="I710" s="39" t="str">
        <f>_xlfn.XLOOKUP(Table6[[#This Row],[Affected WTG]],'Basic Data'!$A:$A,'Basic Data'!$C:$C)</f>
        <v>MSEDCL</v>
      </c>
      <c r="J710" s="363">
        <f>IFERROR(VLOOKUP(Table6[[#This Row],[Affected WTG]],'Basic Data'!$A$3:$E$56,5,0),"")</f>
        <v>2.564102564102564E-2</v>
      </c>
      <c r="K710" s="121" t="s">
        <v>492</v>
      </c>
      <c r="L710" s="39" t="str">
        <f>IFERROR(VLOOKUP(Table6[[#This Row],[Error Code]],'Basic Data'!$T:$U,2,0),"")</f>
        <v>Manual Stop - Safety Related</v>
      </c>
      <c r="M710" s="364" t="s">
        <v>481</v>
      </c>
      <c r="O710" s="346">
        <v>0</v>
      </c>
      <c r="P710" s="346">
        <v>0.99998842592592596</v>
      </c>
      <c r="Q710" s="346">
        <v>0.99998842592592596</v>
      </c>
      <c r="R710" s="366">
        <f>IF(Table6[[#This Row],[Work Start TimeStamp]]="","",(Table6[[#This Row],[Work Start TimeStamp]]-Table6[[#This Row],[Fault Start TimeStamp]])*24)</f>
        <v>23.999722222222225</v>
      </c>
      <c r="S710" s="377">
        <f>(Table6[[#This Row],[Fault Clearance time]]-Table6[[#This Row],[Work Start TimeStamp]])*24</f>
        <v>0</v>
      </c>
      <c r="T710" s="380">
        <f>(Table6[[#This Row],[Fault Clearance time]]-Table6[[#This Row],[Fault Start TimeStamp]])*24</f>
        <v>23.999722222222225</v>
      </c>
      <c r="U710" s="364" t="s">
        <v>498</v>
      </c>
      <c r="V710" s="364" t="s">
        <v>473</v>
      </c>
      <c r="W710" s="355">
        <f>Table6[[#This Row],[Breakdown Time]]*(1/39)</f>
        <v>0.61537749287749288</v>
      </c>
      <c r="X710" s="353" t="s">
        <v>468</v>
      </c>
      <c r="Y710" s="364" t="s">
        <v>141</v>
      </c>
      <c r="Z710" s="121">
        <v>6856</v>
      </c>
      <c r="AA710" s="123">
        <v>6855.9206481481497</v>
      </c>
      <c r="AB710" s="121" t="s">
        <v>478</v>
      </c>
    </row>
    <row r="711" spans="1:28">
      <c r="A711" s="121">
        <f t="shared" si="11"/>
        <v>710</v>
      </c>
      <c r="B711" s="379">
        <f>YEAR(Table6[[#This Row],[Date]])+IF(MONTH(Table6[[#This Row],[Date]])&gt;=4,1,0)</f>
        <v>2026</v>
      </c>
      <c r="C711" s="39">
        <f>YEAR(Table6[[#This Row],[Date]])</f>
        <v>2025</v>
      </c>
      <c r="D711" s="39" t="s">
        <v>490</v>
      </c>
      <c r="E711" s="135">
        <f>Table6[[#This Row],[Date]]-DAY(Table6[[#This Row],[Date]])+1</f>
        <v>45809</v>
      </c>
      <c r="F711" s="134">
        <v>45813</v>
      </c>
      <c r="G711" s="121" t="s">
        <v>142</v>
      </c>
      <c r="H711" s="39" t="str">
        <f>_xlfn.XLOOKUP(Table6[[#This Row],[Affected WTG]],'Basic Data'!$A:$A,'Basic Data'!$B:$B)</f>
        <v>PWEGPL</v>
      </c>
      <c r="I711" s="39" t="str">
        <f>_xlfn.XLOOKUP(Table6[[#This Row],[Affected WTG]],'Basic Data'!$A:$A,'Basic Data'!$C:$C)</f>
        <v>MSEDCL</v>
      </c>
      <c r="J711" s="363">
        <f>IFERROR(VLOOKUP(Table6[[#This Row],[Affected WTG]],'Basic Data'!$A$3:$E$56,5,0),"")</f>
        <v>2.564102564102564E-2</v>
      </c>
      <c r="K711" s="121" t="s">
        <v>492</v>
      </c>
      <c r="L711" s="39" t="str">
        <f>IFERROR(VLOOKUP(Table6[[#This Row],[Error Code]],'Basic Data'!$T:$U,2,0),"")</f>
        <v>Manual Stop - Safety Related</v>
      </c>
      <c r="M711" s="364" t="s">
        <v>481</v>
      </c>
      <c r="O711" s="346">
        <v>0</v>
      </c>
      <c r="P711" s="346">
        <v>0.99998842592592596</v>
      </c>
      <c r="Q711" s="346">
        <v>0.99998842592592596</v>
      </c>
      <c r="R711" s="366">
        <f>IF(Table6[[#This Row],[Work Start TimeStamp]]="","",(Table6[[#This Row],[Work Start TimeStamp]]-Table6[[#This Row],[Fault Start TimeStamp]])*24)</f>
        <v>23.999722222222225</v>
      </c>
      <c r="S711" s="377">
        <f>(Table6[[#This Row],[Fault Clearance time]]-Table6[[#This Row],[Work Start TimeStamp]])*24</f>
        <v>0</v>
      </c>
      <c r="T711" s="380">
        <f>(Table6[[#This Row],[Fault Clearance time]]-Table6[[#This Row],[Fault Start TimeStamp]])*24</f>
        <v>23.999722222222225</v>
      </c>
      <c r="U711" s="364" t="s">
        <v>498</v>
      </c>
      <c r="V711" s="364" t="s">
        <v>473</v>
      </c>
      <c r="W711" s="355">
        <f>Table6[[#This Row],[Breakdown Time]]*(1/39)</f>
        <v>0.61537749287749288</v>
      </c>
      <c r="X711" s="353" t="s">
        <v>468</v>
      </c>
      <c r="Y711" s="364" t="s">
        <v>141</v>
      </c>
      <c r="Z711" s="121">
        <v>6856</v>
      </c>
      <c r="AA711" s="123">
        <v>6855.9206481481497</v>
      </c>
      <c r="AB711" s="121" t="s">
        <v>478</v>
      </c>
    </row>
    <row r="712" spans="1:28">
      <c r="A712" s="121">
        <f t="shared" si="11"/>
        <v>711</v>
      </c>
      <c r="B712" s="379">
        <f>YEAR(Table6[[#This Row],[Date]])+IF(MONTH(Table6[[#This Row],[Date]])&gt;=4,1,0)</f>
        <v>2026</v>
      </c>
      <c r="C712" s="39">
        <f>YEAR(Table6[[#This Row],[Date]])</f>
        <v>2025</v>
      </c>
      <c r="D712" s="39" t="s">
        <v>490</v>
      </c>
      <c r="E712" s="135">
        <f>Table6[[#This Row],[Date]]-DAY(Table6[[#This Row],[Date]])+1</f>
        <v>45809</v>
      </c>
      <c r="F712" s="134">
        <v>45813</v>
      </c>
      <c r="G712" s="121" t="s">
        <v>118</v>
      </c>
      <c r="H712" s="39" t="str">
        <f>_xlfn.XLOOKUP(Table6[[#This Row],[Affected WTG]],'Basic Data'!$A:$A,'Basic Data'!$B:$B)</f>
        <v>PWEGPL</v>
      </c>
      <c r="I712" s="39" t="str">
        <f>_xlfn.XLOOKUP(Table6[[#This Row],[Affected WTG]],'Basic Data'!$A:$A,'Basic Data'!$C:$C)</f>
        <v>MSEDCL</v>
      </c>
      <c r="J712" s="363">
        <f>IFERROR(VLOOKUP(Table6[[#This Row],[Affected WTG]],'Basic Data'!$A$3:$E$56,5,0),"")</f>
        <v>2.564102564102564E-2</v>
      </c>
      <c r="K712" s="121">
        <v>2118</v>
      </c>
      <c r="L712" s="39" t="str">
        <f>IFERROR(VLOOKUP(Table6[[#This Row],[Error Code]],'Basic Data'!$T:$U,2,0),"")</f>
        <v>Bus Error - Interbus Failure</v>
      </c>
      <c r="M712" s="364" t="s">
        <v>462</v>
      </c>
      <c r="O712" s="346">
        <v>0.45902777777777776</v>
      </c>
      <c r="P712" s="346">
        <v>0.48472222222222222</v>
      </c>
      <c r="Q712" s="346">
        <v>0.50486111111111109</v>
      </c>
      <c r="R712" s="366">
        <f>IF(Table6[[#This Row],[Work Start TimeStamp]]="","",(Table6[[#This Row],[Work Start TimeStamp]]-Table6[[#This Row],[Fault Start TimeStamp]])*24)</f>
        <v>0.61666666666666714</v>
      </c>
      <c r="S712" s="377">
        <f>(Table6[[#This Row],[Fault Clearance time]]-Table6[[#This Row],[Work Start TimeStamp]])*24</f>
        <v>0.48333333333333295</v>
      </c>
      <c r="T712" s="380">
        <f>(Table6[[#This Row],[Fault Clearance time]]-Table6[[#This Row],[Fault Start TimeStamp]])*24</f>
        <v>1.1000000000000001</v>
      </c>
      <c r="U712" s="364" t="s">
        <v>489</v>
      </c>
      <c r="V712" s="364" t="s">
        <v>463</v>
      </c>
      <c r="W712" s="355">
        <f>Table6[[#This Row],[Breakdown Time]]*(1/39)</f>
        <v>2.8205128205128206E-2</v>
      </c>
      <c r="X712" s="353" t="s">
        <v>465</v>
      </c>
      <c r="Y712" s="364" t="s">
        <v>117</v>
      </c>
      <c r="Z712" s="121">
        <v>9015</v>
      </c>
      <c r="AA712" s="123">
        <v>413.18750000000006</v>
      </c>
      <c r="AB712" s="121" t="s">
        <v>478</v>
      </c>
    </row>
    <row r="713" spans="1:28">
      <c r="A713" s="121">
        <f t="shared" si="11"/>
        <v>712</v>
      </c>
      <c r="B713" s="379">
        <f>YEAR(Table6[[#This Row],[Date]])+IF(MONTH(Table6[[#This Row],[Date]])&gt;=4,1,0)</f>
        <v>2026</v>
      </c>
      <c r="C713" s="39">
        <f>YEAR(Table6[[#This Row],[Date]])</f>
        <v>2025</v>
      </c>
      <c r="D713" s="39" t="s">
        <v>490</v>
      </c>
      <c r="E713" s="135">
        <f>Table6[[#This Row],[Date]]-DAY(Table6[[#This Row],[Date]])+1</f>
        <v>45809</v>
      </c>
      <c r="F713" s="134">
        <v>45813</v>
      </c>
      <c r="G713" s="121" t="s">
        <v>120</v>
      </c>
      <c r="H713" s="39" t="str">
        <f>_xlfn.XLOOKUP(Table6[[#This Row],[Affected WTG]],'Basic Data'!$A:$A,'Basic Data'!$B:$B)</f>
        <v>PWEGPL</v>
      </c>
      <c r="I713" s="39" t="str">
        <f>_xlfn.XLOOKUP(Table6[[#This Row],[Affected WTG]],'Basic Data'!$A:$A,'Basic Data'!$C:$C)</f>
        <v>MSEDCL</v>
      </c>
      <c r="J713" s="363">
        <f>IFERROR(VLOOKUP(Table6[[#This Row],[Affected WTG]],'Basic Data'!$A$3:$E$56,5,0),"")</f>
        <v>2.564102564102564E-2</v>
      </c>
      <c r="K713" s="121" t="s">
        <v>476</v>
      </c>
      <c r="L713" s="39" t="str">
        <f>IFERROR(VLOOKUP(Table6[[#This Row],[Error Code]],'Basic Data'!$T:$U,2,0),"")</f>
        <v>Manual Stop - Preventive Maintenance Activity</v>
      </c>
      <c r="M713" s="364" t="s">
        <v>474</v>
      </c>
      <c r="O713" s="346">
        <v>0.47708333333333336</v>
      </c>
      <c r="P713" s="346">
        <v>0.47708333333333336</v>
      </c>
      <c r="Q713" s="346">
        <v>0.76388888888888884</v>
      </c>
      <c r="R713" s="366">
        <f>IF(Table6[[#This Row],[Work Start TimeStamp]]="","",(Table6[[#This Row],[Work Start TimeStamp]]-Table6[[#This Row],[Fault Start TimeStamp]])*24)</f>
        <v>0</v>
      </c>
      <c r="S713" s="367">
        <f>(Table6[[#This Row],[Fault Clearance time]]-Table6[[#This Row],[Work Start TimeStamp]])*24</f>
        <v>6.8833333333333311</v>
      </c>
      <c r="T713" s="368">
        <f>(Table6[[#This Row],[Fault Clearance time]]-Table6[[#This Row],[Fault Start TimeStamp]])*24</f>
        <v>6.8833333333333311</v>
      </c>
      <c r="U713" s="364" t="s">
        <v>582</v>
      </c>
      <c r="V713" s="364" t="s">
        <v>463</v>
      </c>
      <c r="W713" s="355">
        <f>Table6[[#This Row],[Breakdown Time]]*(1/39)</f>
        <v>0.17649572649572642</v>
      </c>
      <c r="X713" s="353" t="s">
        <v>467</v>
      </c>
      <c r="Y713" s="364" t="s">
        <v>117</v>
      </c>
      <c r="Z713" s="121">
        <v>9015</v>
      </c>
      <c r="AA713" s="123">
        <v>2585.5520833333326</v>
      </c>
      <c r="AB713" s="121" t="s">
        <v>478</v>
      </c>
    </row>
    <row r="714" spans="1:28">
      <c r="A714" s="121">
        <f t="shared" si="11"/>
        <v>713</v>
      </c>
      <c r="B714" s="379">
        <f>YEAR(Table6[[#This Row],[Date]])+IF(MONTH(Table6[[#This Row],[Date]])&gt;=4,1,0)</f>
        <v>2026</v>
      </c>
      <c r="C714" s="39">
        <f>YEAR(Table6[[#This Row],[Date]])</f>
        <v>2025</v>
      </c>
      <c r="D714" s="39" t="s">
        <v>490</v>
      </c>
      <c r="E714" s="135">
        <f>Table6[[#This Row],[Date]]-DAY(Table6[[#This Row],[Date]])+1</f>
        <v>45809</v>
      </c>
      <c r="F714" s="134">
        <v>45813</v>
      </c>
      <c r="G714" s="121" t="s">
        <v>125</v>
      </c>
      <c r="H714" s="39" t="str">
        <f>_xlfn.XLOOKUP(Table6[[#This Row],[Affected WTG]],'Basic Data'!$A:$A,'Basic Data'!$B:$B)</f>
        <v>PWEGPL</v>
      </c>
      <c r="I714" s="39" t="str">
        <f>_xlfn.XLOOKUP(Table6[[#This Row],[Affected WTG]],'Basic Data'!$A:$A,'Basic Data'!$C:$C)</f>
        <v>MSEDCL</v>
      </c>
      <c r="J714" s="363">
        <f>IFERROR(VLOOKUP(Table6[[#This Row],[Affected WTG]],'Basic Data'!$A$3:$E$56,5,0),"")</f>
        <v>2.564102564102564E-2</v>
      </c>
      <c r="K714" s="121">
        <v>116</v>
      </c>
      <c r="L714" s="39" t="str">
        <f>IFERROR(VLOOKUP(Table6[[#This Row],[Error Code]],'Basic Data'!$T:$U,2,0),"")</f>
        <v>Orienting and High Yaw Brake Pressure</v>
      </c>
      <c r="M714" s="364" t="s">
        <v>462</v>
      </c>
      <c r="O714" s="346">
        <v>0.70694444444444449</v>
      </c>
      <c r="P714" s="346">
        <v>0.72847222222222219</v>
      </c>
      <c r="Q714" s="346">
        <v>0.72916666666666663</v>
      </c>
      <c r="R714" s="366">
        <f>IF(Table6[[#This Row],[Work Start TimeStamp]]="","",(Table6[[#This Row],[Work Start TimeStamp]]-Table6[[#This Row],[Fault Start TimeStamp]])*24)</f>
        <v>0.51666666666666483</v>
      </c>
      <c r="S714" s="377">
        <f>(Table6[[#This Row],[Fault Clearance time]]-Table6[[#This Row],[Work Start TimeStamp]])*24</f>
        <v>1.6666666666666607E-2</v>
      </c>
      <c r="T714" s="380">
        <f>(Table6[[#This Row],[Fault Clearance time]]-Table6[[#This Row],[Fault Start TimeStamp]])*24</f>
        <v>0.53333333333333144</v>
      </c>
      <c r="U714" s="364" t="s">
        <v>493</v>
      </c>
      <c r="V714" s="364" t="s">
        <v>463</v>
      </c>
      <c r="W714" s="355">
        <f>Table6[[#This Row],[Breakdown Time]]*(1/39)</f>
        <v>1.3675213675213627E-2</v>
      </c>
      <c r="X714" s="353" t="s">
        <v>465</v>
      </c>
      <c r="Y714" s="364" t="s">
        <v>124</v>
      </c>
      <c r="Z714" s="121">
        <v>9019</v>
      </c>
      <c r="AA714" s="123">
        <v>200.42222222222151</v>
      </c>
      <c r="AB714" s="121" t="s">
        <v>478</v>
      </c>
    </row>
    <row r="715" spans="1:28">
      <c r="A715" s="121">
        <f t="shared" si="11"/>
        <v>714</v>
      </c>
      <c r="B715" s="379">
        <f>YEAR(Table6[[#This Row],[Date]])+IF(MONTH(Table6[[#This Row],[Date]])&gt;=4,1,0)</f>
        <v>2026</v>
      </c>
      <c r="C715" s="39">
        <f>YEAR(Table6[[#This Row],[Date]])</f>
        <v>2025</v>
      </c>
      <c r="D715" s="39" t="s">
        <v>490</v>
      </c>
      <c r="E715" s="135">
        <f>Table6[[#This Row],[Date]]-DAY(Table6[[#This Row],[Date]])+1</f>
        <v>45809</v>
      </c>
      <c r="F715" s="134">
        <v>45813</v>
      </c>
      <c r="G715" s="121" t="s">
        <v>128</v>
      </c>
      <c r="H715" s="39" t="str">
        <f>_xlfn.XLOOKUP(Table6[[#This Row],[Affected WTG]],'Basic Data'!$A:$A,'Basic Data'!$B:$B)</f>
        <v>PWEGPL</v>
      </c>
      <c r="I715" s="39" t="str">
        <f>_xlfn.XLOOKUP(Table6[[#This Row],[Affected WTG]],'Basic Data'!$A:$A,'Basic Data'!$C:$C)</f>
        <v>MSEDCL</v>
      </c>
      <c r="J715" s="363">
        <f>IFERROR(VLOOKUP(Table6[[#This Row],[Affected WTG]],'Basic Data'!$A$3:$E$56,5,0),"")</f>
        <v>2.564102564102564E-2</v>
      </c>
      <c r="K715" s="121">
        <v>116</v>
      </c>
      <c r="L715" s="39" t="str">
        <f>IFERROR(VLOOKUP(Table6[[#This Row],[Error Code]],'Basic Data'!$T:$U,2,0),"")</f>
        <v>Orienting and High Yaw Brake Pressure</v>
      </c>
      <c r="M715" s="364" t="s">
        <v>462</v>
      </c>
      <c r="O715" s="346">
        <v>0.46875</v>
      </c>
      <c r="P715" s="346">
        <v>0.48055555555555557</v>
      </c>
      <c r="Q715" s="346">
        <v>0.48125000000000001</v>
      </c>
      <c r="R715" s="366">
        <f>IF(Table6[[#This Row],[Work Start TimeStamp]]="","",(Table6[[#This Row],[Work Start TimeStamp]]-Table6[[#This Row],[Fault Start TimeStamp]])*24)</f>
        <v>0.28333333333333366</v>
      </c>
      <c r="S715" s="377">
        <f>(Table6[[#This Row],[Fault Clearance time]]-Table6[[#This Row],[Work Start TimeStamp]])*24</f>
        <v>1.6666666666666607E-2</v>
      </c>
      <c r="T715" s="380">
        <f>(Table6[[#This Row],[Fault Clearance time]]-Table6[[#This Row],[Fault Start TimeStamp]])*24</f>
        <v>0.30000000000000027</v>
      </c>
      <c r="U715" s="364" t="s">
        <v>493</v>
      </c>
      <c r="V715" s="364" t="s">
        <v>463</v>
      </c>
      <c r="W715" s="355">
        <f>Table6[[#This Row],[Breakdown Time]]*(1/39)</f>
        <v>7.6923076923076988E-3</v>
      </c>
      <c r="X715" s="353" t="s">
        <v>465</v>
      </c>
      <c r="Y715" s="364" t="s">
        <v>129</v>
      </c>
      <c r="Z715" s="121">
        <v>8021</v>
      </c>
      <c r="AA715" s="123">
        <v>100.26250000000009</v>
      </c>
      <c r="AB715" s="121" t="s">
        <v>478</v>
      </c>
    </row>
    <row r="716" spans="1:28">
      <c r="A716" s="121">
        <f t="shared" si="11"/>
        <v>715</v>
      </c>
      <c r="B716" s="379">
        <f>YEAR(Table6[[#This Row],[Date]])+IF(MONTH(Table6[[#This Row],[Date]])&gt;=4,1,0)</f>
        <v>2026</v>
      </c>
      <c r="C716" s="39">
        <f>YEAR(Table6[[#This Row],[Date]])</f>
        <v>2025</v>
      </c>
      <c r="D716" s="39" t="s">
        <v>490</v>
      </c>
      <c r="E716" s="135">
        <f>Table6[[#This Row],[Date]]-DAY(Table6[[#This Row],[Date]])+1</f>
        <v>45809</v>
      </c>
      <c r="F716" s="134">
        <v>45813</v>
      </c>
      <c r="G716" s="121" t="s">
        <v>133</v>
      </c>
      <c r="H716" s="39" t="str">
        <f>_xlfn.XLOOKUP(Table6[[#This Row],[Affected WTG]],'Basic Data'!$A:$A,'Basic Data'!$B:$B)</f>
        <v>PWEGPL</v>
      </c>
      <c r="I716" s="39" t="str">
        <f>_xlfn.XLOOKUP(Table6[[#This Row],[Affected WTG]],'Basic Data'!$A:$A,'Basic Data'!$C:$C)</f>
        <v>MSEDCL</v>
      </c>
      <c r="J716" s="363">
        <f>IFERROR(VLOOKUP(Table6[[#This Row],[Affected WTG]],'Basic Data'!$A$3:$E$56,5,0),"")</f>
        <v>2.564102564102564E-2</v>
      </c>
      <c r="K716" s="121">
        <v>2118</v>
      </c>
      <c r="L716" s="39" t="str">
        <f>IFERROR(VLOOKUP(Table6[[#This Row],[Error Code]],'Basic Data'!$T:$U,2,0),"")</f>
        <v>Bus Error - Interbus Failure</v>
      </c>
      <c r="M716" s="364" t="s">
        <v>462</v>
      </c>
      <c r="O716" s="346">
        <v>0.64583333333333337</v>
      </c>
      <c r="P716" s="346">
        <v>0.65972222222222221</v>
      </c>
      <c r="Q716" s="346">
        <v>0.68055555555555558</v>
      </c>
      <c r="R716" s="366">
        <f>IF(Table6[[#This Row],[Work Start TimeStamp]]="","",(Table6[[#This Row],[Work Start TimeStamp]]-Table6[[#This Row],[Fault Start TimeStamp]])*24)</f>
        <v>0.33333333333333215</v>
      </c>
      <c r="S716" s="377">
        <f>(Table6[[#This Row],[Fault Clearance time]]-Table6[[#This Row],[Work Start TimeStamp]])*24</f>
        <v>0.50000000000000089</v>
      </c>
      <c r="T716" s="380">
        <f>(Table6[[#This Row],[Fault Clearance time]]-Table6[[#This Row],[Fault Start TimeStamp]])*24</f>
        <v>0.83333333333333304</v>
      </c>
      <c r="U716" s="364" t="s">
        <v>489</v>
      </c>
      <c r="V716" s="364" t="s">
        <v>463</v>
      </c>
      <c r="W716" s="355">
        <f>Table6[[#This Row],[Breakdown Time]]*(1/39)</f>
        <v>2.1367521367521358E-2</v>
      </c>
      <c r="X716" s="353" t="s">
        <v>465</v>
      </c>
      <c r="Y716" s="364" t="s">
        <v>132</v>
      </c>
      <c r="Z716" s="121">
        <v>8019</v>
      </c>
      <c r="AA716" s="123">
        <v>278.43749999999989</v>
      </c>
      <c r="AB716" s="121" t="s">
        <v>478</v>
      </c>
    </row>
    <row r="717" spans="1:28">
      <c r="A717" s="121">
        <f t="shared" si="11"/>
        <v>716</v>
      </c>
      <c r="B717" s="379">
        <f>YEAR(Table6[[#This Row],[Date]])+IF(MONTH(Table6[[#This Row],[Date]])&gt;=4,1,0)</f>
        <v>2026</v>
      </c>
      <c r="C717" s="39">
        <f>YEAR(Table6[[#This Row],[Date]])</f>
        <v>2025</v>
      </c>
      <c r="D717" s="39" t="s">
        <v>490</v>
      </c>
      <c r="E717" s="135">
        <f>Table6[[#This Row],[Date]]-DAY(Table6[[#This Row],[Date]])+1</f>
        <v>45809</v>
      </c>
      <c r="F717" s="134">
        <v>45813</v>
      </c>
      <c r="G717" s="121" t="s">
        <v>149</v>
      </c>
      <c r="H717" s="39" t="str">
        <f>_xlfn.XLOOKUP(Table6[[#This Row],[Affected WTG]],'Basic Data'!$A:$A,'Basic Data'!$B:$B)</f>
        <v>PWEGPL</v>
      </c>
      <c r="I717" s="39" t="str">
        <f>_xlfn.XLOOKUP(Table6[[#This Row],[Affected WTG]],'Basic Data'!$A:$A,'Basic Data'!$C:$C)</f>
        <v>MSEDCL</v>
      </c>
      <c r="J717" s="363">
        <f>IFERROR(VLOOKUP(Table6[[#This Row],[Affected WTG]],'Basic Data'!$A$3:$E$56,5,0),"")</f>
        <v>2.564102564102564E-2</v>
      </c>
      <c r="K717" s="121" t="s">
        <v>487</v>
      </c>
      <c r="L717" s="39" t="str">
        <f>IFERROR(VLOOKUP(Table6[[#This Row],[Error Code]],'Basic Data'!$T:$U,2,0),"")</f>
        <v>General Work Stoppage</v>
      </c>
      <c r="M717" s="364" t="s">
        <v>479</v>
      </c>
      <c r="O717" s="346">
        <v>0.51041666666666663</v>
      </c>
      <c r="P717" s="346">
        <v>0.51041666666666663</v>
      </c>
      <c r="Q717" s="346">
        <v>0.57291666666666663</v>
      </c>
      <c r="R717" s="366">
        <f>IF(Table6[[#This Row],[Work Start TimeStamp]]="","",(Table6[[#This Row],[Work Start TimeStamp]]-Table6[[#This Row],[Fault Start TimeStamp]])*24)</f>
        <v>0</v>
      </c>
      <c r="S717" s="377">
        <f>(Table6[[#This Row],[Fault Clearance time]]-Table6[[#This Row],[Work Start TimeStamp]])*24</f>
        <v>1.5</v>
      </c>
      <c r="T717" s="380">
        <f>(Table6[[#This Row],[Fault Clearance time]]-Table6[[#This Row],[Fault Start TimeStamp]])*24</f>
        <v>1.5</v>
      </c>
      <c r="U717" s="364" t="s">
        <v>1213</v>
      </c>
      <c r="V717" s="364" t="s">
        <v>463</v>
      </c>
      <c r="W717" s="355">
        <f>Table6[[#This Row],[Breakdown Time]]*(1/39)</f>
        <v>3.8461538461538464E-2</v>
      </c>
      <c r="X717" s="353" t="s">
        <v>464</v>
      </c>
      <c r="Y717" s="364" t="s">
        <v>148</v>
      </c>
      <c r="Z717" s="121">
        <v>6232</v>
      </c>
      <c r="AA717" s="123">
        <v>389.5</v>
      </c>
      <c r="AB717" s="121" t="s">
        <v>478</v>
      </c>
    </row>
    <row r="718" spans="1:28">
      <c r="A718" s="121">
        <f t="shared" si="11"/>
        <v>717</v>
      </c>
      <c r="B718" s="379">
        <f>YEAR(Table6[[#This Row],[Date]])+IF(MONTH(Table6[[#This Row],[Date]])&gt;=4,1,0)</f>
        <v>2026</v>
      </c>
      <c r="C718" s="39">
        <f>YEAR(Table6[[#This Row],[Date]])</f>
        <v>2025</v>
      </c>
      <c r="D718" s="39" t="s">
        <v>490</v>
      </c>
      <c r="E718" s="135">
        <f>Table6[[#This Row],[Date]]-DAY(Table6[[#This Row],[Date]])+1</f>
        <v>45809</v>
      </c>
      <c r="F718" s="134">
        <v>45813</v>
      </c>
      <c r="G718" s="121" t="s">
        <v>150</v>
      </c>
      <c r="H718" s="39" t="str">
        <f>_xlfn.XLOOKUP(Table6[[#This Row],[Affected WTG]],'Basic Data'!$A:$A,'Basic Data'!$B:$B)</f>
        <v>PWEGPL</v>
      </c>
      <c r="I718" s="39" t="str">
        <f>_xlfn.XLOOKUP(Table6[[#This Row],[Affected WTG]],'Basic Data'!$A:$A,'Basic Data'!$C:$C)</f>
        <v>MSEDCL</v>
      </c>
      <c r="J718" s="363">
        <f>IFERROR(VLOOKUP(Table6[[#This Row],[Affected WTG]],'Basic Data'!$A$3:$E$56,5,0),"")</f>
        <v>2.564102564102564E-2</v>
      </c>
      <c r="K718" s="121">
        <v>2118</v>
      </c>
      <c r="L718" s="39" t="str">
        <f>IFERROR(VLOOKUP(Table6[[#This Row],[Error Code]],'Basic Data'!$T:$U,2,0),"")</f>
        <v>Bus Error - Interbus Failure</v>
      </c>
      <c r="M718" s="364" t="s">
        <v>462</v>
      </c>
      <c r="O718" s="346">
        <v>0.45833333333333331</v>
      </c>
      <c r="P718" s="346">
        <v>0.47708333333333336</v>
      </c>
      <c r="Q718" s="346">
        <v>0.50347222222222221</v>
      </c>
      <c r="R718" s="366">
        <f>IF(Table6[[#This Row],[Work Start TimeStamp]]="","",(Table6[[#This Row],[Work Start TimeStamp]]-Table6[[#This Row],[Fault Start TimeStamp]])*24)</f>
        <v>0.45000000000000107</v>
      </c>
      <c r="S718" s="377">
        <f>(Table6[[#This Row],[Fault Clearance time]]-Table6[[#This Row],[Work Start TimeStamp]])*24</f>
        <v>0.63333333333333242</v>
      </c>
      <c r="T718" s="380">
        <f>(Table6[[#This Row],[Fault Clearance time]]-Table6[[#This Row],[Fault Start TimeStamp]])*24</f>
        <v>1.0833333333333335</v>
      </c>
      <c r="U718" s="364" t="s">
        <v>489</v>
      </c>
      <c r="V718" s="364" t="s">
        <v>463</v>
      </c>
      <c r="W718" s="355">
        <f>Table6[[#This Row],[Breakdown Time]]*(1/39)</f>
        <v>2.777777777777778E-2</v>
      </c>
      <c r="X718" s="353" t="s">
        <v>465</v>
      </c>
      <c r="Y718" s="364" t="s">
        <v>149</v>
      </c>
      <c r="Z718" s="121">
        <v>5589</v>
      </c>
      <c r="AA718" s="123">
        <v>252.28125000000003</v>
      </c>
      <c r="AB718" s="121" t="s">
        <v>478</v>
      </c>
    </row>
    <row r="719" spans="1:28">
      <c r="A719" s="121">
        <f t="shared" si="11"/>
        <v>718</v>
      </c>
      <c r="B719" s="379">
        <f>YEAR(Table6[[#This Row],[Date]])+IF(MONTH(Table6[[#This Row],[Date]])&gt;=4,1,0)</f>
        <v>2026</v>
      </c>
      <c r="C719" s="39">
        <f>YEAR(Table6[[#This Row],[Date]])</f>
        <v>2025</v>
      </c>
      <c r="D719" s="39" t="s">
        <v>490</v>
      </c>
      <c r="E719" s="135">
        <f>Table6[[#This Row],[Date]]-DAY(Table6[[#This Row],[Date]])+1</f>
        <v>45809</v>
      </c>
      <c r="F719" s="134">
        <v>45814</v>
      </c>
      <c r="G719" s="121" t="s">
        <v>144</v>
      </c>
      <c r="H719" s="39" t="str">
        <f>_xlfn.XLOOKUP(Table6[[#This Row],[Affected WTG]],'Basic Data'!$A:$A,'Basic Data'!$B:$B)</f>
        <v>PWEGPL</v>
      </c>
      <c r="I719" s="39" t="str">
        <f>_xlfn.XLOOKUP(Table6[[#This Row],[Affected WTG]],'Basic Data'!$A:$A,'Basic Data'!$C:$C)</f>
        <v>MSEDCL</v>
      </c>
      <c r="J719" s="363">
        <f>IFERROR(VLOOKUP(Table6[[#This Row],[Affected WTG]],'Basic Data'!$A$3:$E$56,5,0),"")</f>
        <v>2.564102564102564E-2</v>
      </c>
      <c r="K719" s="121" t="s">
        <v>492</v>
      </c>
      <c r="L719" s="39" t="str">
        <f>IFERROR(VLOOKUP(Table6[[#This Row],[Error Code]],'Basic Data'!$T:$U,2,0),"")</f>
        <v>Manual Stop - Safety Related</v>
      </c>
      <c r="M719" s="364" t="s">
        <v>481</v>
      </c>
      <c r="O719" s="346">
        <v>0</v>
      </c>
      <c r="P719" s="346">
        <v>0.99998842592592596</v>
      </c>
      <c r="Q719" s="346">
        <v>0.99998842592592596</v>
      </c>
      <c r="R719" s="366">
        <f>IF(Table6[[#This Row],[Work Start TimeStamp]]="","",(Table6[[#This Row],[Work Start TimeStamp]]-Table6[[#This Row],[Fault Start TimeStamp]])*24)</f>
        <v>23.999722222222225</v>
      </c>
      <c r="S719" s="377">
        <f>(Table6[[#This Row],[Fault Clearance time]]-Table6[[#This Row],[Work Start TimeStamp]])*24</f>
        <v>0</v>
      </c>
      <c r="T719" s="380">
        <f>(Table6[[#This Row],[Fault Clearance time]]-Table6[[#This Row],[Fault Start TimeStamp]])*24</f>
        <v>23.999722222222225</v>
      </c>
      <c r="U719" s="364" t="s">
        <v>498</v>
      </c>
      <c r="V719" s="364" t="s">
        <v>473</v>
      </c>
      <c r="W719" s="355">
        <f>Table6[[#This Row],[Breakdown Time]]*(1/39)</f>
        <v>0.61537749287749288</v>
      </c>
      <c r="X719" s="353" t="s">
        <v>468</v>
      </c>
      <c r="Y719" s="364" t="s">
        <v>141</v>
      </c>
      <c r="Z719" s="121">
        <v>9362</v>
      </c>
      <c r="AA719" s="123">
        <v>9361.8916435185183</v>
      </c>
      <c r="AB719" s="121" t="s">
        <v>478</v>
      </c>
    </row>
    <row r="720" spans="1:28">
      <c r="A720" s="121">
        <f t="shared" si="11"/>
        <v>719</v>
      </c>
      <c r="B720" s="379">
        <f>YEAR(Table6[[#This Row],[Date]])+IF(MONTH(Table6[[#This Row],[Date]])&gt;=4,1,0)</f>
        <v>2026</v>
      </c>
      <c r="C720" s="39">
        <f>YEAR(Table6[[#This Row],[Date]])</f>
        <v>2025</v>
      </c>
      <c r="D720" s="39" t="s">
        <v>490</v>
      </c>
      <c r="E720" s="135">
        <f>Table6[[#This Row],[Date]]-DAY(Table6[[#This Row],[Date]])+1</f>
        <v>45809</v>
      </c>
      <c r="F720" s="134">
        <v>45814</v>
      </c>
      <c r="G720" s="121" t="s">
        <v>142</v>
      </c>
      <c r="H720" s="39" t="str">
        <f>_xlfn.XLOOKUP(Table6[[#This Row],[Affected WTG]],'Basic Data'!$A:$A,'Basic Data'!$B:$B)</f>
        <v>PWEGPL</v>
      </c>
      <c r="I720" s="39" t="str">
        <f>_xlfn.XLOOKUP(Table6[[#This Row],[Affected WTG]],'Basic Data'!$A:$A,'Basic Data'!$C:$C)</f>
        <v>MSEDCL</v>
      </c>
      <c r="J720" s="363">
        <f>IFERROR(VLOOKUP(Table6[[#This Row],[Affected WTG]],'Basic Data'!$A$3:$E$56,5,0),"")</f>
        <v>2.564102564102564E-2</v>
      </c>
      <c r="K720" s="121" t="s">
        <v>492</v>
      </c>
      <c r="L720" s="39" t="str">
        <f>IFERROR(VLOOKUP(Table6[[#This Row],[Error Code]],'Basic Data'!$T:$U,2,0),"")</f>
        <v>Manual Stop - Safety Related</v>
      </c>
      <c r="M720" s="364" t="s">
        <v>481</v>
      </c>
      <c r="O720" s="346">
        <v>0</v>
      </c>
      <c r="P720" s="346">
        <v>0.99998842592592596</v>
      </c>
      <c r="Q720" s="346">
        <v>0.99998842592592596</v>
      </c>
      <c r="R720" s="366">
        <f>IF(Table6[[#This Row],[Work Start TimeStamp]]="","",(Table6[[#This Row],[Work Start TimeStamp]]-Table6[[#This Row],[Fault Start TimeStamp]])*24)</f>
        <v>23.999722222222225</v>
      </c>
      <c r="S720" s="377">
        <f>(Table6[[#This Row],[Fault Clearance time]]-Table6[[#This Row],[Work Start TimeStamp]])*24</f>
        <v>0</v>
      </c>
      <c r="T720" s="380">
        <f>(Table6[[#This Row],[Fault Clearance time]]-Table6[[#This Row],[Fault Start TimeStamp]])*24</f>
        <v>23.999722222222225</v>
      </c>
      <c r="U720" s="364" t="s">
        <v>498</v>
      </c>
      <c r="V720" s="364" t="s">
        <v>473</v>
      </c>
      <c r="W720" s="355">
        <f>Table6[[#This Row],[Breakdown Time]]*(1/39)</f>
        <v>0.61537749287749288</v>
      </c>
      <c r="X720" s="353" t="s">
        <v>468</v>
      </c>
      <c r="Y720" s="364" t="s">
        <v>141</v>
      </c>
      <c r="Z720" s="121">
        <v>9362</v>
      </c>
      <c r="AA720" s="123">
        <v>9361.8916435185183</v>
      </c>
      <c r="AB720" s="121" t="s">
        <v>478</v>
      </c>
    </row>
    <row r="721" spans="1:28">
      <c r="A721" s="121">
        <f t="shared" si="11"/>
        <v>720</v>
      </c>
      <c r="B721" s="379">
        <f>YEAR(Table6[[#This Row],[Date]])+IF(MONTH(Table6[[#This Row],[Date]])&gt;=4,1,0)</f>
        <v>2026</v>
      </c>
      <c r="C721" s="39">
        <f>YEAR(Table6[[#This Row],[Date]])</f>
        <v>2025</v>
      </c>
      <c r="D721" s="39" t="s">
        <v>490</v>
      </c>
      <c r="E721" s="135">
        <f>Table6[[#This Row],[Date]]-DAY(Table6[[#This Row],[Date]])+1</f>
        <v>45809</v>
      </c>
      <c r="F721" s="134">
        <v>45814</v>
      </c>
      <c r="G721" s="121" t="s">
        <v>117</v>
      </c>
      <c r="H721" s="39" t="str">
        <f>_xlfn.XLOOKUP(Table6[[#This Row],[Affected WTG]],'Basic Data'!$A:$A,'Basic Data'!$B:$B)</f>
        <v>PWEGPL</v>
      </c>
      <c r="I721" s="39" t="str">
        <f>_xlfn.XLOOKUP(Table6[[#This Row],[Affected WTG]],'Basic Data'!$A:$A,'Basic Data'!$C:$C)</f>
        <v>MSEDCL</v>
      </c>
      <c r="J721" s="363">
        <f>IFERROR(VLOOKUP(Table6[[#This Row],[Affected WTG]],'Basic Data'!$A$3:$E$56,5,0),"")</f>
        <v>2.564102564102564E-2</v>
      </c>
      <c r="K721" s="121" t="s">
        <v>476</v>
      </c>
      <c r="L721" s="39" t="str">
        <f>IFERROR(VLOOKUP(Table6[[#This Row],[Error Code]],'Basic Data'!$T:$U,2,0),"")</f>
        <v>Manual Stop - Preventive Maintenance Activity</v>
      </c>
      <c r="M721" s="364" t="s">
        <v>474</v>
      </c>
      <c r="O721" s="346">
        <v>0.48333333333333334</v>
      </c>
      <c r="P721" s="346">
        <v>0.48333333333333334</v>
      </c>
      <c r="Q721" s="346">
        <v>0.7583333333333333</v>
      </c>
      <c r="R721" s="366">
        <f>IF(Table6[[#This Row],[Work Start TimeStamp]]="","",(Table6[[#This Row],[Work Start TimeStamp]]-Table6[[#This Row],[Fault Start TimeStamp]])*24)</f>
        <v>0</v>
      </c>
      <c r="S721" s="367">
        <f>(Table6[[#This Row],[Fault Clearance time]]-Table6[[#This Row],[Work Start TimeStamp]])*24</f>
        <v>6.6</v>
      </c>
      <c r="T721" s="368">
        <f>(Table6[[#This Row],[Fault Clearance time]]-Table6[[#This Row],[Fault Start TimeStamp]])*24</f>
        <v>6.6</v>
      </c>
      <c r="U721" s="364" t="s">
        <v>582</v>
      </c>
      <c r="V721" s="364" t="s">
        <v>463</v>
      </c>
      <c r="W721" s="355">
        <f>Table6[[#This Row],[Breakdown Time]]*(1/39)</f>
        <v>0.16923076923076921</v>
      </c>
      <c r="X721" s="353" t="s">
        <v>467</v>
      </c>
      <c r="Y721" s="364" t="s">
        <v>118</v>
      </c>
      <c r="Z721" s="121">
        <v>14606</v>
      </c>
      <c r="AA721" s="123">
        <v>4016.65</v>
      </c>
      <c r="AB721" s="121" t="s">
        <v>478</v>
      </c>
    </row>
    <row r="722" spans="1:28">
      <c r="A722" s="121">
        <f t="shared" si="11"/>
        <v>721</v>
      </c>
      <c r="B722" s="379">
        <f>YEAR(Table6[[#This Row],[Date]])+IF(MONTH(Table6[[#This Row],[Date]])&gt;=4,1,0)</f>
        <v>2026</v>
      </c>
      <c r="C722" s="39">
        <f>YEAR(Table6[[#This Row],[Date]])</f>
        <v>2025</v>
      </c>
      <c r="D722" s="39" t="s">
        <v>490</v>
      </c>
      <c r="E722" s="135">
        <f>Table6[[#This Row],[Date]]-DAY(Table6[[#This Row],[Date]])+1</f>
        <v>45809</v>
      </c>
      <c r="F722" s="134">
        <v>45814</v>
      </c>
      <c r="G722" s="121" t="s">
        <v>128</v>
      </c>
      <c r="H722" s="39" t="str">
        <f>_xlfn.XLOOKUP(Table6[[#This Row],[Affected WTG]],'Basic Data'!$A:$A,'Basic Data'!$B:$B)</f>
        <v>PWEGPL</v>
      </c>
      <c r="I722" s="39" t="str">
        <f>_xlfn.XLOOKUP(Table6[[#This Row],[Affected WTG]],'Basic Data'!$A:$A,'Basic Data'!$C:$C)</f>
        <v>MSEDCL</v>
      </c>
      <c r="J722" s="363">
        <f>IFERROR(VLOOKUP(Table6[[#This Row],[Affected WTG]],'Basic Data'!$A$3:$E$56,5,0),"")</f>
        <v>2.564102564102564E-2</v>
      </c>
      <c r="K722" s="121" t="s">
        <v>466</v>
      </c>
      <c r="L722" s="39" t="str">
        <f>IFERROR(VLOOKUP(Table6[[#This Row],[Error Code]],'Basic Data'!$T:$U,2,0),"")</f>
        <v>Manual Stop</v>
      </c>
      <c r="M722" s="364" t="s">
        <v>479</v>
      </c>
      <c r="O722" s="346">
        <v>0.4513888888888889</v>
      </c>
      <c r="P722" s="346">
        <v>0.4513888888888889</v>
      </c>
      <c r="Q722" s="346">
        <v>0.48958333333333331</v>
      </c>
      <c r="R722" s="366">
        <f>IF(Table6[[#This Row],[Work Start TimeStamp]]="","",(Table6[[#This Row],[Work Start TimeStamp]]-Table6[[#This Row],[Fault Start TimeStamp]])*24)</f>
        <v>0</v>
      </c>
      <c r="S722" s="377">
        <f>(Table6[[#This Row],[Fault Clearance time]]-Table6[[#This Row],[Work Start TimeStamp]])*24</f>
        <v>0.91666666666666607</v>
      </c>
      <c r="T722" s="380">
        <f>(Table6[[#This Row],[Fault Clearance time]]-Table6[[#This Row],[Fault Start TimeStamp]])*24</f>
        <v>0.91666666666666607</v>
      </c>
      <c r="U722" s="364" t="s">
        <v>1219</v>
      </c>
      <c r="V722" s="364" t="s">
        <v>463</v>
      </c>
      <c r="W722" s="355">
        <f>Table6[[#This Row],[Breakdown Time]]*(1/39)</f>
        <v>2.3504273504273487E-2</v>
      </c>
      <c r="X722" s="353" t="s">
        <v>465</v>
      </c>
      <c r="Y722" s="364" t="s">
        <v>129</v>
      </c>
      <c r="Z722" s="121">
        <v>12845</v>
      </c>
      <c r="AA722" s="123">
        <v>490.60763888888863</v>
      </c>
      <c r="AB722" s="121" t="s">
        <v>478</v>
      </c>
    </row>
    <row r="723" spans="1:28">
      <c r="A723" s="121">
        <f t="shared" si="11"/>
        <v>722</v>
      </c>
      <c r="B723" s="379">
        <f>YEAR(Table6[[#This Row],[Date]])+IF(MONTH(Table6[[#This Row],[Date]])&gt;=4,1,0)</f>
        <v>2026</v>
      </c>
      <c r="C723" s="39">
        <f>YEAR(Table6[[#This Row],[Date]])</f>
        <v>2025</v>
      </c>
      <c r="D723" s="39" t="s">
        <v>490</v>
      </c>
      <c r="E723" s="135">
        <f>Table6[[#This Row],[Date]]-DAY(Table6[[#This Row],[Date]])+1</f>
        <v>45809</v>
      </c>
      <c r="F723" s="134">
        <v>45814</v>
      </c>
      <c r="G723" s="121" t="s">
        <v>150</v>
      </c>
      <c r="H723" s="39" t="str">
        <f>_xlfn.XLOOKUP(Table6[[#This Row],[Affected WTG]],'Basic Data'!$A:$A,'Basic Data'!$B:$B)</f>
        <v>PWEGPL</v>
      </c>
      <c r="I723" s="39" t="str">
        <f>_xlfn.XLOOKUP(Table6[[#This Row],[Affected WTG]],'Basic Data'!$A:$A,'Basic Data'!$C:$C)</f>
        <v>MSEDCL</v>
      </c>
      <c r="J723" s="363">
        <f>IFERROR(VLOOKUP(Table6[[#This Row],[Affected WTG]],'Basic Data'!$A$3:$E$56,5,0),"")</f>
        <v>2.564102564102564E-2</v>
      </c>
      <c r="K723" s="121">
        <v>205</v>
      </c>
      <c r="L723" s="39" t="str">
        <f>IFERROR(VLOOKUP(Table6[[#This Row],[Error Code]],'Basic Data'!$T:$U,2,0),"")</f>
        <v>Low Level Hydraulic Group Refrigeration Oil</v>
      </c>
      <c r="M723" s="364" t="s">
        <v>462</v>
      </c>
      <c r="O723" s="346">
        <v>0.72916666666666663</v>
      </c>
      <c r="P723" s="346">
        <v>0.75069444444444444</v>
      </c>
      <c r="Q723" s="346">
        <v>0.89513888888888893</v>
      </c>
      <c r="R723" s="366">
        <f>IF(Table6[[#This Row],[Work Start TimeStamp]]="","",(Table6[[#This Row],[Work Start TimeStamp]]-Table6[[#This Row],[Fault Start TimeStamp]])*24)</f>
        <v>0.5166666666666675</v>
      </c>
      <c r="S723" s="377">
        <f>(Table6[[#This Row],[Fault Clearance time]]-Table6[[#This Row],[Work Start TimeStamp]])*24</f>
        <v>3.4666666666666677</v>
      </c>
      <c r="T723" s="380">
        <f>(Table6[[#This Row],[Fault Clearance time]]-Table6[[#This Row],[Fault Start TimeStamp]])*24</f>
        <v>3.9833333333333352</v>
      </c>
      <c r="U723" s="364" t="s">
        <v>1221</v>
      </c>
      <c r="V723" s="364" t="s">
        <v>463</v>
      </c>
      <c r="W723" s="355">
        <f>Table6[[#This Row],[Breakdown Time]]*(1/39)</f>
        <v>0.10213675213675218</v>
      </c>
      <c r="X723" s="353" t="s">
        <v>464</v>
      </c>
      <c r="Y723" s="364" t="s">
        <v>149</v>
      </c>
      <c r="Z723" s="121">
        <v>7780</v>
      </c>
      <c r="AA723" s="123">
        <v>1291.2638888888896</v>
      </c>
      <c r="AB723" s="121" t="s">
        <v>478</v>
      </c>
    </row>
    <row r="724" spans="1:28">
      <c r="A724" s="121">
        <f t="shared" si="11"/>
        <v>723</v>
      </c>
      <c r="B724" s="379">
        <f>YEAR(Table6[[#This Row],[Date]])+IF(MONTH(Table6[[#This Row],[Date]])&gt;=4,1,0)</f>
        <v>2026</v>
      </c>
      <c r="C724" s="39">
        <f>YEAR(Table6[[#This Row],[Date]])</f>
        <v>2025</v>
      </c>
      <c r="D724" s="39" t="s">
        <v>490</v>
      </c>
      <c r="E724" s="135">
        <f>Table6[[#This Row],[Date]]-DAY(Table6[[#This Row],[Date]])+1</f>
        <v>45809</v>
      </c>
      <c r="F724" s="134">
        <v>45815</v>
      </c>
      <c r="G724" s="121" t="s">
        <v>144</v>
      </c>
      <c r="H724" s="39" t="str">
        <f>_xlfn.XLOOKUP(Table6[[#This Row],[Affected WTG]],'Basic Data'!$A:$A,'Basic Data'!$B:$B)</f>
        <v>PWEGPL</v>
      </c>
      <c r="I724" s="39" t="str">
        <f>_xlfn.XLOOKUP(Table6[[#This Row],[Affected WTG]],'Basic Data'!$A:$A,'Basic Data'!$C:$C)</f>
        <v>MSEDCL</v>
      </c>
      <c r="J724" s="363">
        <f>IFERROR(VLOOKUP(Table6[[#This Row],[Affected WTG]],'Basic Data'!$A$3:$E$56,5,0),"")</f>
        <v>2.564102564102564E-2</v>
      </c>
      <c r="K724" s="121" t="s">
        <v>492</v>
      </c>
      <c r="L724" s="39" t="str">
        <f>IFERROR(VLOOKUP(Table6[[#This Row],[Error Code]],'Basic Data'!$T:$U,2,0),"")</f>
        <v>Manual Stop - Safety Related</v>
      </c>
      <c r="M724" s="364" t="s">
        <v>481</v>
      </c>
      <c r="O724" s="346">
        <v>0</v>
      </c>
      <c r="P724" s="346">
        <v>0.99998842592592596</v>
      </c>
      <c r="Q724" s="346">
        <v>0.99998842592592596</v>
      </c>
      <c r="R724" s="366">
        <f>IF(Table6[[#This Row],[Work Start TimeStamp]]="","",(Table6[[#This Row],[Work Start TimeStamp]]-Table6[[#This Row],[Fault Start TimeStamp]])*24)</f>
        <v>23.999722222222225</v>
      </c>
      <c r="S724" s="377">
        <f>(Table6[[#This Row],[Fault Clearance time]]-Table6[[#This Row],[Work Start TimeStamp]])*24</f>
        <v>0</v>
      </c>
      <c r="T724" s="380">
        <f>(Table6[[#This Row],[Fault Clearance time]]-Table6[[#This Row],[Fault Start TimeStamp]])*24</f>
        <v>23.999722222222225</v>
      </c>
      <c r="U724" s="364" t="s">
        <v>498</v>
      </c>
      <c r="V724" s="364" t="s">
        <v>473</v>
      </c>
      <c r="W724" s="355">
        <f>Table6[[#This Row],[Breakdown Time]]*(1/39)</f>
        <v>0.61537749287749288</v>
      </c>
      <c r="X724" s="353" t="s">
        <v>468</v>
      </c>
      <c r="Y724" s="364" t="s">
        <v>141</v>
      </c>
      <c r="Z724" s="121">
        <v>12590</v>
      </c>
      <c r="AA724" s="123">
        <v>12589.85428240741</v>
      </c>
      <c r="AB724" s="121" t="s">
        <v>478</v>
      </c>
    </row>
    <row r="725" spans="1:28">
      <c r="A725" s="121">
        <f t="shared" si="11"/>
        <v>724</v>
      </c>
      <c r="B725" s="379">
        <f>YEAR(Table6[[#This Row],[Date]])+IF(MONTH(Table6[[#This Row],[Date]])&gt;=4,1,0)</f>
        <v>2026</v>
      </c>
      <c r="C725" s="39">
        <f>YEAR(Table6[[#This Row],[Date]])</f>
        <v>2025</v>
      </c>
      <c r="D725" s="39" t="s">
        <v>490</v>
      </c>
      <c r="E725" s="135">
        <f>Table6[[#This Row],[Date]]-DAY(Table6[[#This Row],[Date]])+1</f>
        <v>45809</v>
      </c>
      <c r="F725" s="134">
        <v>45815</v>
      </c>
      <c r="G725" s="121" t="s">
        <v>142</v>
      </c>
      <c r="H725" s="39" t="str">
        <f>_xlfn.XLOOKUP(Table6[[#This Row],[Affected WTG]],'Basic Data'!$A:$A,'Basic Data'!$B:$B)</f>
        <v>PWEGPL</v>
      </c>
      <c r="I725" s="39" t="str">
        <f>_xlfn.XLOOKUP(Table6[[#This Row],[Affected WTG]],'Basic Data'!$A:$A,'Basic Data'!$C:$C)</f>
        <v>MSEDCL</v>
      </c>
      <c r="J725" s="363">
        <f>IFERROR(VLOOKUP(Table6[[#This Row],[Affected WTG]],'Basic Data'!$A$3:$E$56,5,0),"")</f>
        <v>2.564102564102564E-2</v>
      </c>
      <c r="K725" s="121" t="s">
        <v>492</v>
      </c>
      <c r="L725" s="39" t="str">
        <f>IFERROR(VLOOKUP(Table6[[#This Row],[Error Code]],'Basic Data'!$T:$U,2,0),"")</f>
        <v>Manual Stop - Safety Related</v>
      </c>
      <c r="M725" s="364" t="s">
        <v>481</v>
      </c>
      <c r="O725" s="346">
        <v>0</v>
      </c>
      <c r="P725" s="346">
        <v>0.99998842592592596</v>
      </c>
      <c r="Q725" s="346">
        <v>0.99998842592592596</v>
      </c>
      <c r="R725" s="366">
        <f>IF(Table6[[#This Row],[Work Start TimeStamp]]="","",(Table6[[#This Row],[Work Start TimeStamp]]-Table6[[#This Row],[Fault Start TimeStamp]])*24)</f>
        <v>23.999722222222225</v>
      </c>
      <c r="S725" s="377">
        <f>(Table6[[#This Row],[Fault Clearance time]]-Table6[[#This Row],[Work Start TimeStamp]])*24</f>
        <v>0</v>
      </c>
      <c r="T725" s="380">
        <f>(Table6[[#This Row],[Fault Clearance time]]-Table6[[#This Row],[Fault Start TimeStamp]])*24</f>
        <v>23.999722222222225</v>
      </c>
      <c r="U725" s="364" t="s">
        <v>498</v>
      </c>
      <c r="V725" s="364" t="s">
        <v>473</v>
      </c>
      <c r="W725" s="355">
        <f>Table6[[#This Row],[Breakdown Time]]*(1/39)</f>
        <v>0.61537749287749288</v>
      </c>
      <c r="X725" s="353" t="s">
        <v>468</v>
      </c>
      <c r="Y725" s="364" t="s">
        <v>141</v>
      </c>
      <c r="Z725" s="121">
        <v>12590</v>
      </c>
      <c r="AA725" s="123">
        <v>12589.85428240741</v>
      </c>
      <c r="AB725" s="121" t="s">
        <v>478</v>
      </c>
    </row>
    <row r="726" spans="1:28">
      <c r="A726" s="121">
        <f t="shared" si="11"/>
        <v>725</v>
      </c>
      <c r="B726" s="379">
        <f>YEAR(Table6[[#This Row],[Date]])+IF(MONTH(Table6[[#This Row],[Date]])&gt;=4,1,0)</f>
        <v>2026</v>
      </c>
      <c r="C726" s="39">
        <f>YEAR(Table6[[#This Row],[Date]])</f>
        <v>2025</v>
      </c>
      <c r="D726" s="39" t="s">
        <v>490</v>
      </c>
      <c r="E726" s="135">
        <f>Table6[[#This Row],[Date]]-DAY(Table6[[#This Row],[Date]])+1</f>
        <v>45809</v>
      </c>
      <c r="F726" s="134">
        <v>45815</v>
      </c>
      <c r="G726" s="121" t="s">
        <v>118</v>
      </c>
      <c r="H726" s="39" t="str">
        <f>_xlfn.XLOOKUP(Table6[[#This Row],[Affected WTG]],'Basic Data'!$A:$A,'Basic Data'!$B:$B)</f>
        <v>PWEGPL</v>
      </c>
      <c r="I726" s="39" t="str">
        <f>_xlfn.XLOOKUP(Table6[[#This Row],[Affected WTG]],'Basic Data'!$A:$A,'Basic Data'!$C:$C)</f>
        <v>MSEDCL</v>
      </c>
      <c r="J726" s="363">
        <f>IFERROR(VLOOKUP(Table6[[#This Row],[Affected WTG]],'Basic Data'!$A$3:$E$56,5,0),"")</f>
        <v>2.564102564102564E-2</v>
      </c>
      <c r="K726" s="121" t="s">
        <v>476</v>
      </c>
      <c r="L726" s="39" t="str">
        <f>IFERROR(VLOOKUP(Table6[[#This Row],[Error Code]],'Basic Data'!$T:$U,2,0),"")</f>
        <v>Manual Stop - Preventive Maintenance Activity</v>
      </c>
      <c r="M726" s="364" t="s">
        <v>474</v>
      </c>
      <c r="O726" s="346">
        <v>0.46527777777777779</v>
      </c>
      <c r="P726" s="346">
        <v>0.46527777777777779</v>
      </c>
      <c r="Q726" s="346">
        <v>0.75347222222222221</v>
      </c>
      <c r="R726" s="366">
        <f>IF(Table6[[#This Row],[Work Start TimeStamp]]="","",(Table6[[#This Row],[Work Start TimeStamp]]-Table6[[#This Row],[Fault Start TimeStamp]])*24)</f>
        <v>0</v>
      </c>
      <c r="S726" s="367">
        <f>(Table6[[#This Row],[Fault Clearance time]]-Table6[[#This Row],[Work Start TimeStamp]])*24</f>
        <v>6.9166666666666661</v>
      </c>
      <c r="T726" s="368">
        <f>(Table6[[#This Row],[Fault Clearance time]]-Table6[[#This Row],[Fault Start TimeStamp]])*24</f>
        <v>6.9166666666666661</v>
      </c>
      <c r="U726" s="364" t="s">
        <v>582</v>
      </c>
      <c r="V726" s="364" t="s">
        <v>463</v>
      </c>
      <c r="W726" s="355">
        <f>Table6[[#This Row],[Breakdown Time]]*(1/39)</f>
        <v>0.17735042735042733</v>
      </c>
      <c r="X726" s="353" t="s">
        <v>467</v>
      </c>
      <c r="Y726" s="364" t="s">
        <v>117</v>
      </c>
      <c r="Z726" s="121">
        <v>19809</v>
      </c>
      <c r="AA726" s="123">
        <v>5708.8437499999991</v>
      </c>
      <c r="AB726" s="121" t="s">
        <v>478</v>
      </c>
    </row>
    <row r="727" spans="1:28">
      <c r="A727" s="121">
        <f t="shared" si="11"/>
        <v>726</v>
      </c>
      <c r="B727" s="379">
        <f>YEAR(Table6[[#This Row],[Date]])+IF(MONTH(Table6[[#This Row],[Date]])&gt;=4,1,0)</f>
        <v>2026</v>
      </c>
      <c r="C727" s="39">
        <f>YEAR(Table6[[#This Row],[Date]])</f>
        <v>2025</v>
      </c>
      <c r="D727" s="39" t="s">
        <v>490</v>
      </c>
      <c r="E727" s="135">
        <f>Table6[[#This Row],[Date]]-DAY(Table6[[#This Row],[Date]])+1</f>
        <v>45809</v>
      </c>
      <c r="F727" s="134">
        <v>45815</v>
      </c>
      <c r="G727" s="121" t="s">
        <v>141</v>
      </c>
      <c r="H727" s="39" t="str">
        <f>_xlfn.XLOOKUP(Table6[[#This Row],[Affected WTG]],'Basic Data'!$A:$A,'Basic Data'!$B:$B)</f>
        <v>PWEGPL</v>
      </c>
      <c r="I727" s="39" t="str">
        <f>_xlfn.XLOOKUP(Table6[[#This Row],[Affected WTG]],'Basic Data'!$A:$A,'Basic Data'!$C:$C)</f>
        <v>MSEDCL</v>
      </c>
      <c r="J727" s="363">
        <f>IFERROR(VLOOKUP(Table6[[#This Row],[Affected WTG]],'Basic Data'!$A$3:$E$56,5,0),"")</f>
        <v>2.564102564102564E-2</v>
      </c>
      <c r="K727" s="121" t="s">
        <v>466</v>
      </c>
      <c r="L727" s="39" t="str">
        <f>IFERROR(VLOOKUP(Table6[[#This Row],[Error Code]],'Basic Data'!$T:$U,2,0),"")</f>
        <v>Manual Stop</v>
      </c>
      <c r="M727" s="364" t="s">
        <v>479</v>
      </c>
      <c r="O727" s="346">
        <v>0.46458333333333335</v>
      </c>
      <c r="P727" s="346">
        <v>0.46458333333333335</v>
      </c>
      <c r="Q727" s="346">
        <v>0.56597222222222221</v>
      </c>
      <c r="R727" s="366">
        <f>IF(Table6[[#This Row],[Work Start TimeStamp]]="","",(Table6[[#This Row],[Work Start TimeStamp]]-Table6[[#This Row],[Fault Start TimeStamp]])*24)</f>
        <v>0</v>
      </c>
      <c r="S727" s="377">
        <f>(Table6[[#This Row],[Fault Clearance time]]-Table6[[#This Row],[Work Start TimeStamp]])*24</f>
        <v>2.4333333333333327</v>
      </c>
      <c r="T727" s="380">
        <f>(Table6[[#This Row],[Fault Clearance time]]-Table6[[#This Row],[Fault Start TimeStamp]])*24</f>
        <v>2.4333333333333327</v>
      </c>
      <c r="U727" s="364" t="s">
        <v>1213</v>
      </c>
      <c r="V727" s="364" t="s">
        <v>463</v>
      </c>
      <c r="W727" s="355">
        <f>Table6[[#This Row],[Breakdown Time]]*(1/39)</f>
        <v>6.2393162393162373E-2</v>
      </c>
      <c r="X727" s="353" t="s">
        <v>464</v>
      </c>
      <c r="Y727" s="364" t="s">
        <v>143</v>
      </c>
      <c r="Z727" s="121">
        <v>12542</v>
      </c>
      <c r="AA727" s="123">
        <v>1271.6194444444443</v>
      </c>
      <c r="AB727" s="121" t="s">
        <v>478</v>
      </c>
    </row>
    <row r="728" spans="1:28">
      <c r="A728" s="121">
        <f t="shared" si="11"/>
        <v>727</v>
      </c>
      <c r="B728" s="379">
        <f>YEAR(Table6[[#This Row],[Date]])+IF(MONTH(Table6[[#This Row],[Date]])&gt;=4,1,0)</f>
        <v>2026</v>
      </c>
      <c r="C728" s="39">
        <f>YEAR(Table6[[#This Row],[Date]])</f>
        <v>2025</v>
      </c>
      <c r="D728" s="39" t="s">
        <v>490</v>
      </c>
      <c r="E728" s="135">
        <f>Table6[[#This Row],[Date]]-DAY(Table6[[#This Row],[Date]])+1</f>
        <v>45809</v>
      </c>
      <c r="F728" s="134">
        <v>45815</v>
      </c>
      <c r="G728" s="121" t="s">
        <v>143</v>
      </c>
      <c r="H728" s="39" t="str">
        <f>_xlfn.XLOOKUP(Table6[[#This Row],[Affected WTG]],'Basic Data'!$A:$A,'Basic Data'!$B:$B)</f>
        <v>PWEGPL</v>
      </c>
      <c r="I728" s="39" t="str">
        <f>_xlfn.XLOOKUP(Table6[[#This Row],[Affected WTG]],'Basic Data'!$A:$A,'Basic Data'!$C:$C)</f>
        <v>MSEDCL</v>
      </c>
      <c r="J728" s="363">
        <f>IFERROR(VLOOKUP(Table6[[#This Row],[Affected WTG]],'Basic Data'!$A$3:$E$56,5,0),"")</f>
        <v>2.564102564102564E-2</v>
      </c>
      <c r="K728" s="121" t="s">
        <v>466</v>
      </c>
      <c r="L728" s="39" t="str">
        <f>IFERROR(VLOOKUP(Table6[[#This Row],[Error Code]],'Basic Data'!$T:$U,2,0),"")</f>
        <v>Manual Stop</v>
      </c>
      <c r="M728" s="364" t="s">
        <v>479</v>
      </c>
      <c r="O728" s="346">
        <v>0.6</v>
      </c>
      <c r="P728" s="346">
        <v>0.6</v>
      </c>
      <c r="Q728" s="346">
        <v>0.68055555555555558</v>
      </c>
      <c r="R728" s="366">
        <f>IF(Table6[[#This Row],[Work Start TimeStamp]]="","",(Table6[[#This Row],[Work Start TimeStamp]]-Table6[[#This Row],[Fault Start TimeStamp]])*24)</f>
        <v>0</v>
      </c>
      <c r="S728" s="377">
        <f>(Table6[[#This Row],[Fault Clearance time]]-Table6[[#This Row],[Work Start TimeStamp]])*24</f>
        <v>1.9333333333333345</v>
      </c>
      <c r="T728" s="380">
        <f>(Table6[[#This Row],[Fault Clearance time]]-Table6[[#This Row],[Fault Start TimeStamp]])*24</f>
        <v>1.9333333333333345</v>
      </c>
      <c r="U728" s="364" t="s">
        <v>1213</v>
      </c>
      <c r="V728" s="364" t="s">
        <v>463</v>
      </c>
      <c r="W728" s="355">
        <f>Table6[[#This Row],[Breakdown Time]]*(1/39)</f>
        <v>4.9572649572649598E-2</v>
      </c>
      <c r="X728" s="353" t="s">
        <v>464</v>
      </c>
      <c r="Y728" s="364" t="s">
        <v>141</v>
      </c>
      <c r="Z728" s="121">
        <v>12590</v>
      </c>
      <c r="AA728" s="123">
        <v>1014.1944444444451</v>
      </c>
      <c r="AB728" s="121" t="s">
        <v>478</v>
      </c>
    </row>
    <row r="729" spans="1:28">
      <c r="A729" s="121">
        <f t="shared" si="11"/>
        <v>728</v>
      </c>
      <c r="B729" s="379">
        <f>YEAR(Table6[[#This Row],[Date]])+IF(MONTH(Table6[[#This Row],[Date]])&gt;=4,1,0)</f>
        <v>2026</v>
      </c>
      <c r="C729" s="39">
        <f>YEAR(Table6[[#This Row],[Date]])</f>
        <v>2025</v>
      </c>
      <c r="D729" s="39" t="s">
        <v>490</v>
      </c>
      <c r="E729" s="135">
        <f>Table6[[#This Row],[Date]]-DAY(Table6[[#This Row],[Date]])+1</f>
        <v>45809</v>
      </c>
      <c r="F729" s="134">
        <v>45816</v>
      </c>
      <c r="G729" s="121" t="s">
        <v>144</v>
      </c>
      <c r="H729" s="39" t="str">
        <f>_xlfn.XLOOKUP(Table6[[#This Row],[Affected WTG]],'Basic Data'!$A:$A,'Basic Data'!$B:$B)</f>
        <v>PWEGPL</v>
      </c>
      <c r="I729" s="39" t="str">
        <f>_xlfn.XLOOKUP(Table6[[#This Row],[Affected WTG]],'Basic Data'!$A:$A,'Basic Data'!$C:$C)</f>
        <v>MSEDCL</v>
      </c>
      <c r="J729" s="363">
        <f>IFERROR(VLOOKUP(Table6[[#This Row],[Affected WTG]],'Basic Data'!$A$3:$E$56,5,0),"")</f>
        <v>2.564102564102564E-2</v>
      </c>
      <c r="K729" s="121" t="s">
        <v>492</v>
      </c>
      <c r="L729" s="39" t="str">
        <f>IFERROR(VLOOKUP(Table6[[#This Row],[Error Code]],'Basic Data'!$T:$U,2,0),"")</f>
        <v>Manual Stop - Safety Related</v>
      </c>
      <c r="M729" s="364" t="s">
        <v>481</v>
      </c>
      <c r="O729" s="346">
        <v>0</v>
      </c>
      <c r="P729" s="346">
        <v>0.99998842592592596</v>
      </c>
      <c r="Q729" s="346">
        <v>0.99998842592592596</v>
      </c>
      <c r="R729" s="366">
        <f>IF(Table6[[#This Row],[Work Start TimeStamp]]="","",(Table6[[#This Row],[Work Start TimeStamp]]-Table6[[#This Row],[Fault Start TimeStamp]])*24)</f>
        <v>23.999722222222225</v>
      </c>
      <c r="S729" s="377">
        <f>(Table6[[#This Row],[Fault Clearance time]]-Table6[[#This Row],[Work Start TimeStamp]])*24</f>
        <v>0</v>
      </c>
      <c r="T729" s="380">
        <f>(Table6[[#This Row],[Fault Clearance time]]-Table6[[#This Row],[Fault Start TimeStamp]])*24</f>
        <v>23.999722222222225</v>
      </c>
      <c r="U729" s="364" t="s">
        <v>498</v>
      </c>
      <c r="V729" s="364" t="s">
        <v>473</v>
      </c>
      <c r="W729" s="355">
        <f>Table6[[#This Row],[Breakdown Time]]*(1/39)</f>
        <v>0.61537749287749288</v>
      </c>
      <c r="X729" s="353" t="s">
        <v>468</v>
      </c>
      <c r="Y729" s="364" t="s">
        <v>141</v>
      </c>
      <c r="Z729" s="121">
        <v>12125</v>
      </c>
      <c r="AA729" s="123">
        <v>12124.859664351852</v>
      </c>
      <c r="AB729" s="121" t="s">
        <v>478</v>
      </c>
    </row>
    <row r="730" spans="1:28">
      <c r="A730" s="121">
        <f t="shared" si="11"/>
        <v>729</v>
      </c>
      <c r="B730" s="379">
        <f>YEAR(Table6[[#This Row],[Date]])+IF(MONTH(Table6[[#This Row],[Date]])&gt;=4,1,0)</f>
        <v>2026</v>
      </c>
      <c r="C730" s="39">
        <f>YEAR(Table6[[#This Row],[Date]])</f>
        <v>2025</v>
      </c>
      <c r="D730" s="39" t="s">
        <v>490</v>
      </c>
      <c r="E730" s="135">
        <f>Table6[[#This Row],[Date]]-DAY(Table6[[#This Row],[Date]])+1</f>
        <v>45809</v>
      </c>
      <c r="F730" s="134">
        <v>45816</v>
      </c>
      <c r="G730" s="121" t="s">
        <v>142</v>
      </c>
      <c r="H730" s="39" t="str">
        <f>_xlfn.XLOOKUP(Table6[[#This Row],[Affected WTG]],'Basic Data'!$A:$A,'Basic Data'!$B:$B)</f>
        <v>PWEGPL</v>
      </c>
      <c r="I730" s="39" t="str">
        <f>_xlfn.XLOOKUP(Table6[[#This Row],[Affected WTG]],'Basic Data'!$A:$A,'Basic Data'!$C:$C)</f>
        <v>MSEDCL</v>
      </c>
      <c r="J730" s="363">
        <f>IFERROR(VLOOKUP(Table6[[#This Row],[Affected WTG]],'Basic Data'!$A$3:$E$56,5,0),"")</f>
        <v>2.564102564102564E-2</v>
      </c>
      <c r="K730" s="121" t="s">
        <v>492</v>
      </c>
      <c r="L730" s="39" t="str">
        <f>IFERROR(VLOOKUP(Table6[[#This Row],[Error Code]],'Basic Data'!$T:$U,2,0),"")</f>
        <v>Manual Stop - Safety Related</v>
      </c>
      <c r="M730" s="364" t="s">
        <v>481</v>
      </c>
      <c r="O730" s="346">
        <v>0</v>
      </c>
      <c r="P730" s="346">
        <v>0.99998842592592596</v>
      </c>
      <c r="Q730" s="346">
        <v>0.99998842592592596</v>
      </c>
      <c r="R730" s="366">
        <f>IF(Table6[[#This Row],[Work Start TimeStamp]]="","",(Table6[[#This Row],[Work Start TimeStamp]]-Table6[[#This Row],[Fault Start TimeStamp]])*24)</f>
        <v>23.999722222222225</v>
      </c>
      <c r="S730" s="377">
        <f>(Table6[[#This Row],[Fault Clearance time]]-Table6[[#This Row],[Work Start TimeStamp]])*24</f>
        <v>0</v>
      </c>
      <c r="T730" s="380">
        <f>(Table6[[#This Row],[Fault Clearance time]]-Table6[[#This Row],[Fault Start TimeStamp]])*24</f>
        <v>23.999722222222225</v>
      </c>
      <c r="U730" s="364" t="s">
        <v>498</v>
      </c>
      <c r="V730" s="364" t="s">
        <v>473</v>
      </c>
      <c r="W730" s="355">
        <f>Table6[[#This Row],[Breakdown Time]]*(1/39)</f>
        <v>0.61537749287749288</v>
      </c>
      <c r="X730" s="353" t="s">
        <v>468</v>
      </c>
      <c r="Y730" s="364" t="s">
        <v>141</v>
      </c>
      <c r="Z730" s="121">
        <v>12125</v>
      </c>
      <c r="AA730" s="123">
        <v>12124.859664351852</v>
      </c>
      <c r="AB730" s="121" t="s">
        <v>478</v>
      </c>
    </row>
    <row r="731" spans="1:28">
      <c r="A731" s="121">
        <f t="shared" si="11"/>
        <v>730</v>
      </c>
      <c r="B731" s="379">
        <f>YEAR(Table6[[#This Row],[Date]])+IF(MONTH(Table6[[#This Row],[Date]])&gt;=4,1,0)</f>
        <v>2026</v>
      </c>
      <c r="C731" s="39">
        <f>YEAR(Table6[[#This Row],[Date]])</f>
        <v>2025</v>
      </c>
      <c r="D731" s="39" t="s">
        <v>490</v>
      </c>
      <c r="E731" s="135">
        <f>Table6[[#This Row],[Date]]-DAY(Table6[[#This Row],[Date]])+1</f>
        <v>45809</v>
      </c>
      <c r="F731" s="134">
        <v>45816</v>
      </c>
      <c r="G731" s="121" t="s">
        <v>135</v>
      </c>
      <c r="H731" s="39" t="str">
        <f>_xlfn.XLOOKUP(Table6[[#This Row],[Affected WTG]],'Basic Data'!$A:$A,'Basic Data'!$B:$B)</f>
        <v>PWEGPL</v>
      </c>
      <c r="I731" s="39" t="str">
        <f>_xlfn.XLOOKUP(Table6[[#This Row],[Affected WTG]],'Basic Data'!$A:$A,'Basic Data'!$C:$C)</f>
        <v>MSEDCL</v>
      </c>
      <c r="J731" s="363">
        <f>IFERROR(VLOOKUP(Table6[[#This Row],[Affected WTG]],'Basic Data'!$A$3:$E$56,5,0),"")</f>
        <v>2.564102564102564E-2</v>
      </c>
      <c r="K731" s="121">
        <v>2100</v>
      </c>
      <c r="L731" s="39" t="str">
        <f>IFERROR(VLOOKUP(Table6[[#This Row],[Error Code]],'Basic Data'!$T:$U,2,0),"")</f>
        <v>PLC Voltage Recovery</v>
      </c>
      <c r="M731" s="364" t="s">
        <v>462</v>
      </c>
      <c r="O731" s="346">
        <v>0.87847222222222221</v>
      </c>
      <c r="P731" s="346">
        <v>0.88749999999999996</v>
      </c>
      <c r="Q731" s="346">
        <v>0.8881944444444444</v>
      </c>
      <c r="R731" s="366">
        <f>IF(Table6[[#This Row],[Work Start TimeStamp]]="","",(Table6[[#This Row],[Work Start TimeStamp]]-Table6[[#This Row],[Fault Start TimeStamp]])*24)</f>
        <v>0.2166666666666659</v>
      </c>
      <c r="S731" s="377">
        <f>(Table6[[#This Row],[Fault Clearance time]]-Table6[[#This Row],[Work Start TimeStamp]])*24</f>
        <v>1.6666666666666607E-2</v>
      </c>
      <c r="T731" s="380">
        <f>(Table6[[#This Row],[Fault Clearance time]]-Table6[[#This Row],[Fault Start TimeStamp]])*24</f>
        <v>0.2333333333333325</v>
      </c>
      <c r="U731" s="364" t="s">
        <v>493</v>
      </c>
      <c r="V731" s="364" t="s">
        <v>463</v>
      </c>
      <c r="W731" s="355">
        <f>Table6[[#This Row],[Breakdown Time]]*(1/39)</f>
        <v>5.9829059829059617E-3</v>
      </c>
      <c r="X731" s="353" t="s">
        <v>465</v>
      </c>
      <c r="Y731" s="364" t="s">
        <v>136</v>
      </c>
      <c r="Z731" s="121">
        <v>12015</v>
      </c>
      <c r="AA731" s="123">
        <v>116.81249999999959</v>
      </c>
      <c r="AB731" s="121" t="s">
        <v>478</v>
      </c>
    </row>
    <row r="732" spans="1:28">
      <c r="A732" s="121">
        <f t="shared" si="11"/>
        <v>731</v>
      </c>
      <c r="B732" s="379">
        <f>YEAR(Table6[[#This Row],[Date]])+IF(MONTH(Table6[[#This Row],[Date]])&gt;=4,1,0)</f>
        <v>2026</v>
      </c>
      <c r="C732" s="39">
        <f>YEAR(Table6[[#This Row],[Date]])</f>
        <v>2025</v>
      </c>
      <c r="D732" s="39" t="s">
        <v>490</v>
      </c>
      <c r="E732" s="135">
        <f>Table6[[#This Row],[Date]]-DAY(Table6[[#This Row],[Date]])+1</f>
        <v>45809</v>
      </c>
      <c r="F732" s="134">
        <v>45816</v>
      </c>
      <c r="G732" s="121" t="s">
        <v>136</v>
      </c>
      <c r="H732" s="39" t="str">
        <f>_xlfn.XLOOKUP(Table6[[#This Row],[Affected WTG]],'Basic Data'!$A:$A,'Basic Data'!$B:$B)</f>
        <v>PWEGPL</v>
      </c>
      <c r="I732" s="39" t="str">
        <f>_xlfn.XLOOKUP(Table6[[#This Row],[Affected WTG]],'Basic Data'!$A:$A,'Basic Data'!$C:$C)</f>
        <v>MSEDCL</v>
      </c>
      <c r="J732" s="363">
        <f>IFERROR(VLOOKUP(Table6[[#This Row],[Affected WTG]],'Basic Data'!$A$3:$E$56,5,0),"")</f>
        <v>2.564102564102564E-2</v>
      </c>
      <c r="K732" s="121">
        <v>2100</v>
      </c>
      <c r="L732" s="39" t="str">
        <f>IFERROR(VLOOKUP(Table6[[#This Row],[Error Code]],'Basic Data'!$T:$U,2,0),"")</f>
        <v>PLC Voltage Recovery</v>
      </c>
      <c r="M732" s="364" t="s">
        <v>462</v>
      </c>
      <c r="O732" s="346">
        <v>0.87847222222222221</v>
      </c>
      <c r="P732" s="346">
        <v>0.88541666666666663</v>
      </c>
      <c r="Q732" s="346">
        <v>0.88611111111111107</v>
      </c>
      <c r="R732" s="366">
        <f>IF(Table6[[#This Row],[Work Start TimeStamp]]="","",(Table6[[#This Row],[Work Start TimeStamp]]-Table6[[#This Row],[Fault Start TimeStamp]])*24)</f>
        <v>0.16666666666666607</v>
      </c>
      <c r="S732" s="377">
        <f>(Table6[[#This Row],[Fault Clearance time]]-Table6[[#This Row],[Work Start TimeStamp]])*24</f>
        <v>1.6666666666666607E-2</v>
      </c>
      <c r="T732" s="380">
        <f>(Table6[[#This Row],[Fault Clearance time]]-Table6[[#This Row],[Fault Start TimeStamp]])*24</f>
        <v>0.18333333333333268</v>
      </c>
      <c r="U732" s="364" t="s">
        <v>493</v>
      </c>
      <c r="V732" s="364" t="s">
        <v>463</v>
      </c>
      <c r="W732" s="355">
        <f>Table6[[#This Row],[Breakdown Time]]*(1/39)</f>
        <v>4.7008547008546842E-3</v>
      </c>
      <c r="X732" s="353" t="s">
        <v>465</v>
      </c>
      <c r="Y732" s="364" t="s">
        <v>137</v>
      </c>
      <c r="Z732" s="121">
        <v>12001</v>
      </c>
      <c r="AA732" s="123">
        <v>91.674305555555236</v>
      </c>
      <c r="AB732" s="121" t="s">
        <v>478</v>
      </c>
    </row>
    <row r="733" spans="1:28">
      <c r="A733" s="121">
        <f t="shared" si="11"/>
        <v>732</v>
      </c>
      <c r="B733" s="379">
        <f>YEAR(Table6[[#This Row],[Date]])+IF(MONTH(Table6[[#This Row],[Date]])&gt;=4,1,0)</f>
        <v>2026</v>
      </c>
      <c r="C733" s="39">
        <f>YEAR(Table6[[#This Row],[Date]])</f>
        <v>2025</v>
      </c>
      <c r="D733" s="39" t="s">
        <v>490</v>
      </c>
      <c r="E733" s="135">
        <f>Table6[[#This Row],[Date]]-DAY(Table6[[#This Row],[Date]])+1</f>
        <v>45809</v>
      </c>
      <c r="F733" s="134">
        <v>45816</v>
      </c>
      <c r="G733" s="121" t="s">
        <v>138</v>
      </c>
      <c r="H733" s="39" t="str">
        <f>_xlfn.XLOOKUP(Table6[[#This Row],[Affected WTG]],'Basic Data'!$A:$A,'Basic Data'!$B:$B)</f>
        <v>PWEGPL</v>
      </c>
      <c r="I733" s="39" t="str">
        <f>_xlfn.XLOOKUP(Table6[[#This Row],[Affected WTG]],'Basic Data'!$A:$A,'Basic Data'!$C:$C)</f>
        <v>MSEDCL</v>
      </c>
      <c r="J733" s="363">
        <f>IFERROR(VLOOKUP(Table6[[#This Row],[Affected WTG]],'Basic Data'!$A$3:$E$56,5,0),"")</f>
        <v>2.564102564102564E-2</v>
      </c>
      <c r="K733" s="121">
        <v>2100</v>
      </c>
      <c r="L733" s="39" t="str">
        <f>IFERROR(VLOOKUP(Table6[[#This Row],[Error Code]],'Basic Data'!$T:$U,2,0),"")</f>
        <v>PLC Voltage Recovery</v>
      </c>
      <c r="M733" s="364" t="s">
        <v>462</v>
      </c>
      <c r="O733" s="346">
        <v>0.87847222222222221</v>
      </c>
      <c r="P733" s="346">
        <v>0.89930555555555558</v>
      </c>
      <c r="Q733" s="346">
        <v>0.9</v>
      </c>
      <c r="R733" s="366">
        <f>IF(Table6[[#This Row],[Work Start TimeStamp]]="","",(Table6[[#This Row],[Work Start TimeStamp]]-Table6[[#This Row],[Fault Start TimeStamp]])*24)</f>
        <v>0.50000000000000089</v>
      </c>
      <c r="S733" s="377">
        <f>(Table6[[#This Row],[Fault Clearance time]]-Table6[[#This Row],[Work Start TimeStamp]])*24</f>
        <v>1.6666666666666607E-2</v>
      </c>
      <c r="T733" s="380">
        <f>(Table6[[#This Row],[Fault Clearance time]]-Table6[[#This Row],[Fault Start TimeStamp]])*24</f>
        <v>0.5166666666666675</v>
      </c>
      <c r="U733" s="364" t="s">
        <v>493</v>
      </c>
      <c r="V733" s="364" t="s">
        <v>463</v>
      </c>
      <c r="W733" s="355">
        <f>Table6[[#This Row],[Breakdown Time]]*(1/39)</f>
        <v>1.3247863247863268E-2</v>
      </c>
      <c r="X733" s="353" t="s">
        <v>465</v>
      </c>
      <c r="Y733" s="364" t="s">
        <v>140</v>
      </c>
      <c r="Z733" s="121">
        <v>12121</v>
      </c>
      <c r="AA733" s="123">
        <v>260.93819444444489</v>
      </c>
      <c r="AB733" s="121" t="s">
        <v>478</v>
      </c>
    </row>
    <row r="734" spans="1:28">
      <c r="A734" s="121">
        <f t="shared" si="11"/>
        <v>733</v>
      </c>
      <c r="B734" s="379">
        <f>YEAR(Table6[[#This Row],[Date]])+IF(MONTH(Table6[[#This Row],[Date]])&gt;=4,1,0)</f>
        <v>2026</v>
      </c>
      <c r="C734" s="39">
        <f>YEAR(Table6[[#This Row],[Date]])</f>
        <v>2025</v>
      </c>
      <c r="D734" s="39" t="s">
        <v>490</v>
      </c>
      <c r="E734" s="135">
        <f>Table6[[#This Row],[Date]]-DAY(Table6[[#This Row],[Date]])+1</f>
        <v>45809</v>
      </c>
      <c r="F734" s="134">
        <v>45816</v>
      </c>
      <c r="G734" s="121" t="s">
        <v>141</v>
      </c>
      <c r="H734" s="39" t="str">
        <f>_xlfn.XLOOKUP(Table6[[#This Row],[Affected WTG]],'Basic Data'!$A:$A,'Basic Data'!$B:$B)</f>
        <v>PWEGPL</v>
      </c>
      <c r="I734" s="39" t="str">
        <f>_xlfn.XLOOKUP(Table6[[#This Row],[Affected WTG]],'Basic Data'!$A:$A,'Basic Data'!$C:$C)</f>
        <v>MSEDCL</v>
      </c>
      <c r="J734" s="363">
        <f>IFERROR(VLOOKUP(Table6[[#This Row],[Affected WTG]],'Basic Data'!$A$3:$E$56,5,0),"")</f>
        <v>2.564102564102564E-2</v>
      </c>
      <c r="K734" s="121">
        <v>2100</v>
      </c>
      <c r="L734" s="39" t="str">
        <f>IFERROR(VLOOKUP(Table6[[#This Row],[Error Code]],'Basic Data'!$T:$U,2,0),"")</f>
        <v>PLC Voltage Recovery</v>
      </c>
      <c r="M734" s="364" t="s">
        <v>462</v>
      </c>
      <c r="O734" s="346">
        <v>0.87847222222222221</v>
      </c>
      <c r="P734" s="346">
        <v>0.90833333333333333</v>
      </c>
      <c r="Q734" s="346">
        <v>0.90902777777777777</v>
      </c>
      <c r="R734" s="366">
        <f>IF(Table6[[#This Row],[Work Start TimeStamp]]="","",(Table6[[#This Row],[Work Start TimeStamp]]-Table6[[#This Row],[Fault Start TimeStamp]])*24)</f>
        <v>0.71666666666666679</v>
      </c>
      <c r="S734" s="377">
        <f>(Table6[[#This Row],[Fault Clearance time]]-Table6[[#This Row],[Work Start TimeStamp]])*24</f>
        <v>1.6666666666666607E-2</v>
      </c>
      <c r="T734" s="380">
        <f>(Table6[[#This Row],[Fault Clearance time]]-Table6[[#This Row],[Fault Start TimeStamp]])*24</f>
        <v>0.73333333333333339</v>
      </c>
      <c r="U734" s="364" t="s">
        <v>493</v>
      </c>
      <c r="V734" s="364" t="s">
        <v>463</v>
      </c>
      <c r="W734" s="355">
        <f>Table6[[#This Row],[Breakdown Time]]*(1/39)</f>
        <v>1.8803418803418806E-2</v>
      </c>
      <c r="X734" s="353" t="s">
        <v>465</v>
      </c>
      <c r="Y734" s="364" t="s">
        <v>143</v>
      </c>
      <c r="Z734" s="121">
        <v>12132</v>
      </c>
      <c r="AA734" s="123">
        <v>370.70000000000005</v>
      </c>
      <c r="AB734" s="121" t="s">
        <v>478</v>
      </c>
    </row>
    <row r="735" spans="1:28">
      <c r="A735" s="121">
        <f t="shared" si="11"/>
        <v>734</v>
      </c>
      <c r="B735" s="379">
        <f>YEAR(Table6[[#This Row],[Date]])+IF(MONTH(Table6[[#This Row],[Date]])&gt;=4,1,0)</f>
        <v>2026</v>
      </c>
      <c r="C735" s="39">
        <f>YEAR(Table6[[#This Row],[Date]])</f>
        <v>2025</v>
      </c>
      <c r="D735" s="39" t="s">
        <v>490</v>
      </c>
      <c r="E735" s="135">
        <f>Table6[[#This Row],[Date]]-DAY(Table6[[#This Row],[Date]])+1</f>
        <v>45809</v>
      </c>
      <c r="F735" s="134">
        <v>45816</v>
      </c>
      <c r="G735" s="121" t="s">
        <v>143</v>
      </c>
      <c r="H735" s="39" t="str">
        <f>_xlfn.XLOOKUP(Table6[[#This Row],[Affected WTG]],'Basic Data'!$A:$A,'Basic Data'!$B:$B)</f>
        <v>PWEGPL</v>
      </c>
      <c r="I735" s="39" t="str">
        <f>_xlfn.XLOOKUP(Table6[[#This Row],[Affected WTG]],'Basic Data'!$A:$A,'Basic Data'!$C:$C)</f>
        <v>MSEDCL</v>
      </c>
      <c r="J735" s="363">
        <f>IFERROR(VLOOKUP(Table6[[#This Row],[Affected WTG]],'Basic Data'!$A$3:$E$56,5,0),"")</f>
        <v>2.564102564102564E-2</v>
      </c>
      <c r="K735" s="121">
        <v>2100</v>
      </c>
      <c r="L735" s="39" t="str">
        <f>IFERROR(VLOOKUP(Table6[[#This Row],[Error Code]],'Basic Data'!$T:$U,2,0),"")</f>
        <v>PLC Voltage Recovery</v>
      </c>
      <c r="M735" s="364" t="s">
        <v>462</v>
      </c>
      <c r="O735" s="346">
        <v>0.87847222222222221</v>
      </c>
      <c r="P735" s="346">
        <v>0.91319444444444442</v>
      </c>
      <c r="Q735" s="346">
        <v>0.91388888888888886</v>
      </c>
      <c r="R735" s="366">
        <f>IF(Table6[[#This Row],[Work Start TimeStamp]]="","",(Table6[[#This Row],[Work Start TimeStamp]]-Table6[[#This Row],[Fault Start TimeStamp]])*24)</f>
        <v>0.83333333333333304</v>
      </c>
      <c r="S735" s="377">
        <f>(Table6[[#This Row],[Fault Clearance time]]-Table6[[#This Row],[Work Start TimeStamp]])*24</f>
        <v>1.6666666666666607E-2</v>
      </c>
      <c r="T735" s="380">
        <f>(Table6[[#This Row],[Fault Clearance time]]-Table6[[#This Row],[Fault Start TimeStamp]])*24</f>
        <v>0.84999999999999964</v>
      </c>
      <c r="U735" s="364" t="s">
        <v>493</v>
      </c>
      <c r="V735" s="364" t="s">
        <v>463</v>
      </c>
      <c r="W735" s="355">
        <f>Table6[[#This Row],[Breakdown Time]]*(1/39)</f>
        <v>2.1794871794871783E-2</v>
      </c>
      <c r="X735" s="353" t="s">
        <v>465</v>
      </c>
      <c r="Y735" s="364" t="s">
        <v>141</v>
      </c>
      <c r="Z735" s="121">
        <v>12125</v>
      </c>
      <c r="AA735" s="123">
        <v>429.42708333333314</v>
      </c>
      <c r="AB735" s="121" t="s">
        <v>478</v>
      </c>
    </row>
    <row r="736" spans="1:28">
      <c r="A736" s="121">
        <f t="shared" si="11"/>
        <v>735</v>
      </c>
      <c r="B736" s="379">
        <f>YEAR(Table6[[#This Row],[Date]])+IF(MONTH(Table6[[#This Row],[Date]])&gt;=4,1,0)</f>
        <v>2026</v>
      </c>
      <c r="C736" s="39">
        <f>YEAR(Table6[[#This Row],[Date]])</f>
        <v>2025</v>
      </c>
      <c r="D736" s="39" t="s">
        <v>490</v>
      </c>
      <c r="E736" s="135">
        <f>Table6[[#This Row],[Date]]-DAY(Table6[[#This Row],[Date]])+1</f>
        <v>45809</v>
      </c>
      <c r="F736" s="134">
        <v>45817</v>
      </c>
      <c r="G736" s="121" t="s">
        <v>144</v>
      </c>
      <c r="H736" s="39" t="str">
        <f>_xlfn.XLOOKUP(Table6[[#This Row],[Affected WTG]],'Basic Data'!$A:$A,'Basic Data'!$B:$B)</f>
        <v>PWEGPL</v>
      </c>
      <c r="I736" s="39" t="str">
        <f>_xlfn.XLOOKUP(Table6[[#This Row],[Affected WTG]],'Basic Data'!$A:$A,'Basic Data'!$C:$C)</f>
        <v>MSEDCL</v>
      </c>
      <c r="J736" s="363">
        <f>IFERROR(VLOOKUP(Table6[[#This Row],[Affected WTG]],'Basic Data'!$A$3:$E$56,5,0),"")</f>
        <v>2.564102564102564E-2</v>
      </c>
      <c r="K736" s="121" t="s">
        <v>492</v>
      </c>
      <c r="L736" s="39" t="str">
        <f>IFERROR(VLOOKUP(Table6[[#This Row],[Error Code]],'Basic Data'!$T:$U,2,0),"")</f>
        <v>Manual Stop - Safety Related</v>
      </c>
      <c r="M736" s="364" t="s">
        <v>481</v>
      </c>
      <c r="O736" s="346">
        <v>0</v>
      </c>
      <c r="P736" s="346">
        <v>0.99998842592592596</v>
      </c>
      <c r="Q736" s="346">
        <v>0.99998842592592596</v>
      </c>
      <c r="R736" s="366">
        <f>IF(Table6[[#This Row],[Work Start TimeStamp]]="","",(Table6[[#This Row],[Work Start TimeStamp]]-Table6[[#This Row],[Fault Start TimeStamp]])*24)</f>
        <v>23.999722222222225</v>
      </c>
      <c r="S736" s="377">
        <f>(Table6[[#This Row],[Fault Clearance time]]-Table6[[#This Row],[Work Start TimeStamp]])*24</f>
        <v>0</v>
      </c>
      <c r="T736" s="380">
        <f>(Table6[[#This Row],[Fault Clearance time]]-Table6[[#This Row],[Fault Start TimeStamp]])*24</f>
        <v>23.999722222222225</v>
      </c>
      <c r="U736" s="364" t="s">
        <v>498</v>
      </c>
      <c r="V736" s="364" t="s">
        <v>473</v>
      </c>
      <c r="W736" s="355">
        <f>Table6[[#This Row],[Breakdown Time]]*(1/39)</f>
        <v>0.61537749287749288</v>
      </c>
      <c r="X736" s="353" t="s">
        <v>468</v>
      </c>
      <c r="Y736" s="364" t="s">
        <v>141</v>
      </c>
      <c r="Z736" s="121">
        <v>23434</v>
      </c>
      <c r="AA736" s="123">
        <v>23433.728773148148</v>
      </c>
      <c r="AB736" s="121" t="s">
        <v>478</v>
      </c>
    </row>
    <row r="737" spans="1:28">
      <c r="A737" s="121">
        <f t="shared" si="11"/>
        <v>736</v>
      </c>
      <c r="B737" s="379">
        <f>YEAR(Table6[[#This Row],[Date]])+IF(MONTH(Table6[[#This Row],[Date]])&gt;=4,1,0)</f>
        <v>2026</v>
      </c>
      <c r="C737" s="39">
        <f>YEAR(Table6[[#This Row],[Date]])</f>
        <v>2025</v>
      </c>
      <c r="D737" s="39" t="s">
        <v>490</v>
      </c>
      <c r="E737" s="135">
        <f>Table6[[#This Row],[Date]]-DAY(Table6[[#This Row],[Date]])+1</f>
        <v>45809</v>
      </c>
      <c r="F737" s="134">
        <v>45817</v>
      </c>
      <c r="G737" s="121" t="s">
        <v>142</v>
      </c>
      <c r="H737" s="39" t="str">
        <f>_xlfn.XLOOKUP(Table6[[#This Row],[Affected WTG]],'Basic Data'!$A:$A,'Basic Data'!$B:$B)</f>
        <v>PWEGPL</v>
      </c>
      <c r="I737" s="39" t="str">
        <f>_xlfn.XLOOKUP(Table6[[#This Row],[Affected WTG]],'Basic Data'!$A:$A,'Basic Data'!$C:$C)</f>
        <v>MSEDCL</v>
      </c>
      <c r="J737" s="363">
        <f>IFERROR(VLOOKUP(Table6[[#This Row],[Affected WTG]],'Basic Data'!$A$3:$E$56,5,0),"")</f>
        <v>2.564102564102564E-2</v>
      </c>
      <c r="K737" s="121" t="s">
        <v>492</v>
      </c>
      <c r="L737" s="39" t="str">
        <f>IFERROR(VLOOKUP(Table6[[#This Row],[Error Code]],'Basic Data'!$T:$U,2,0),"")</f>
        <v>Manual Stop - Safety Related</v>
      </c>
      <c r="M737" s="364" t="s">
        <v>481</v>
      </c>
      <c r="O737" s="346">
        <v>0</v>
      </c>
      <c r="P737" s="346">
        <v>0.99998842592592596</v>
      </c>
      <c r="Q737" s="346">
        <v>0.99998842592592596</v>
      </c>
      <c r="R737" s="366">
        <f>IF(Table6[[#This Row],[Work Start TimeStamp]]="","",(Table6[[#This Row],[Work Start TimeStamp]]-Table6[[#This Row],[Fault Start TimeStamp]])*24)</f>
        <v>23.999722222222225</v>
      </c>
      <c r="S737" s="377">
        <f>(Table6[[#This Row],[Fault Clearance time]]-Table6[[#This Row],[Work Start TimeStamp]])*24</f>
        <v>0</v>
      </c>
      <c r="T737" s="380">
        <f>(Table6[[#This Row],[Fault Clearance time]]-Table6[[#This Row],[Fault Start TimeStamp]])*24</f>
        <v>23.999722222222225</v>
      </c>
      <c r="U737" s="364" t="s">
        <v>498</v>
      </c>
      <c r="V737" s="364" t="s">
        <v>473</v>
      </c>
      <c r="W737" s="355">
        <f>Table6[[#This Row],[Breakdown Time]]*(1/39)</f>
        <v>0.61537749287749288</v>
      </c>
      <c r="X737" s="353" t="s">
        <v>468</v>
      </c>
      <c r="Y737" s="364" t="s">
        <v>141</v>
      </c>
      <c r="Z737" s="121">
        <v>23434</v>
      </c>
      <c r="AA737" s="123">
        <v>23433.728773148148</v>
      </c>
      <c r="AB737" s="121" t="s">
        <v>478</v>
      </c>
    </row>
    <row r="738" spans="1:28">
      <c r="A738" s="121">
        <f t="shared" si="11"/>
        <v>737</v>
      </c>
      <c r="B738" s="379">
        <f>YEAR(Table6[[#This Row],[Date]])+IF(MONTH(Table6[[#This Row],[Date]])&gt;=4,1,0)</f>
        <v>2026</v>
      </c>
      <c r="C738" s="39">
        <f>YEAR(Table6[[#This Row],[Date]])</f>
        <v>2025</v>
      </c>
      <c r="D738" s="39" t="s">
        <v>490</v>
      </c>
      <c r="E738" s="135">
        <f>Table6[[#This Row],[Date]]-DAY(Table6[[#This Row],[Date]])+1</f>
        <v>45809</v>
      </c>
      <c r="F738" s="134">
        <v>45817</v>
      </c>
      <c r="G738" s="121" t="s">
        <v>118</v>
      </c>
      <c r="H738" s="39" t="str">
        <f>_xlfn.XLOOKUP(Table6[[#This Row],[Affected WTG]],'Basic Data'!$A:$A,'Basic Data'!$B:$B)</f>
        <v>PWEGPL</v>
      </c>
      <c r="I738" s="39" t="str">
        <f>_xlfn.XLOOKUP(Table6[[#This Row],[Affected WTG]],'Basic Data'!$A:$A,'Basic Data'!$C:$C)</f>
        <v>MSEDCL</v>
      </c>
      <c r="J738" s="363">
        <f>IFERROR(VLOOKUP(Table6[[#This Row],[Affected WTG]],'Basic Data'!$A$3:$E$56,5,0),"")</f>
        <v>2.564102564102564E-2</v>
      </c>
      <c r="K738" s="121">
        <v>2118</v>
      </c>
      <c r="L738" s="39" t="str">
        <f>IFERROR(VLOOKUP(Table6[[#This Row],[Error Code]],'Basic Data'!$T:$U,2,0),"")</f>
        <v>Bus Error - Interbus Failure</v>
      </c>
      <c r="M738" s="364" t="s">
        <v>462</v>
      </c>
      <c r="O738" s="346">
        <v>0.73958333333333337</v>
      </c>
      <c r="P738" s="346">
        <v>0.75694444444444442</v>
      </c>
      <c r="Q738" s="346">
        <v>0.7583333333333333</v>
      </c>
      <c r="R738" s="366">
        <f>IF(Table6[[#This Row],[Work Start TimeStamp]]="","",(Table6[[#This Row],[Work Start TimeStamp]]-Table6[[#This Row],[Fault Start TimeStamp]])*24)</f>
        <v>0.41666666666666519</v>
      </c>
      <c r="S738" s="377">
        <f>(Table6[[#This Row],[Fault Clearance time]]-Table6[[#This Row],[Work Start TimeStamp]])*24</f>
        <v>3.3333333333333215E-2</v>
      </c>
      <c r="T738" s="380">
        <f>(Table6[[#This Row],[Fault Clearance time]]-Table6[[#This Row],[Fault Start TimeStamp]])*24</f>
        <v>0.4499999999999984</v>
      </c>
      <c r="U738" s="364" t="s">
        <v>491</v>
      </c>
      <c r="V738" s="364" t="s">
        <v>463</v>
      </c>
      <c r="W738" s="355">
        <f>Table6[[#This Row],[Breakdown Time]]*(1/39)</f>
        <v>1.1538461538461497E-2</v>
      </c>
      <c r="X738" s="353" t="s">
        <v>465</v>
      </c>
      <c r="Y738" s="364" t="s">
        <v>117</v>
      </c>
      <c r="Z738" s="121">
        <v>24743</v>
      </c>
      <c r="AA738" s="123">
        <v>463.93124999999833</v>
      </c>
      <c r="AB738" s="121" t="s">
        <v>478</v>
      </c>
    </row>
    <row r="739" spans="1:28">
      <c r="A739" s="121">
        <f t="shared" si="11"/>
        <v>738</v>
      </c>
      <c r="B739" s="379">
        <f>YEAR(Table6[[#This Row],[Date]])+IF(MONTH(Table6[[#This Row],[Date]])&gt;=4,1,0)</f>
        <v>2026</v>
      </c>
      <c r="C739" s="39">
        <f>YEAR(Table6[[#This Row],[Date]])</f>
        <v>2025</v>
      </c>
      <c r="D739" s="39" t="s">
        <v>490</v>
      </c>
      <c r="E739" s="135">
        <f>Table6[[#This Row],[Date]]-DAY(Table6[[#This Row],[Date]])+1</f>
        <v>45809</v>
      </c>
      <c r="F739" s="134">
        <v>45817</v>
      </c>
      <c r="G739" s="121" t="s">
        <v>126</v>
      </c>
      <c r="H739" s="39" t="str">
        <f>_xlfn.XLOOKUP(Table6[[#This Row],[Affected WTG]],'Basic Data'!$A:$A,'Basic Data'!$B:$B)</f>
        <v>PWEGPL</v>
      </c>
      <c r="I739" s="39" t="str">
        <f>_xlfn.XLOOKUP(Table6[[#This Row],[Affected WTG]],'Basic Data'!$A:$A,'Basic Data'!$C:$C)</f>
        <v>MSEDCL</v>
      </c>
      <c r="J739" s="363">
        <f>IFERROR(VLOOKUP(Table6[[#This Row],[Affected WTG]],'Basic Data'!$A$3:$E$56,5,0),"")</f>
        <v>2.564102564102564E-2</v>
      </c>
      <c r="K739" s="121">
        <v>203</v>
      </c>
      <c r="L739" s="39" t="str">
        <f>IFERROR(VLOOKUP(Table6[[#This Row],[Error Code]],'Basic Data'!$T:$U,2,0),"")</f>
        <v>Low Pressure On Hydraulic Group</v>
      </c>
      <c r="M739" s="364" t="s">
        <v>462</v>
      </c>
      <c r="O739" s="346">
        <v>0.47916666666666669</v>
      </c>
      <c r="P739" s="346">
        <v>0.49652777777777779</v>
      </c>
      <c r="Q739" s="346">
        <v>0.54861111111111116</v>
      </c>
      <c r="R739" s="366">
        <f>IF(Table6[[#This Row],[Work Start TimeStamp]]="","",(Table6[[#This Row],[Work Start TimeStamp]]-Table6[[#This Row],[Fault Start TimeStamp]])*24)</f>
        <v>0.41666666666666652</v>
      </c>
      <c r="S739" s="377">
        <f>(Table6[[#This Row],[Fault Clearance time]]-Table6[[#This Row],[Work Start TimeStamp]])*24</f>
        <v>1.2500000000000009</v>
      </c>
      <c r="T739" s="380">
        <f>(Table6[[#This Row],[Fault Clearance time]]-Table6[[#This Row],[Fault Start TimeStamp]])*24</f>
        <v>1.6666666666666674</v>
      </c>
      <c r="U739" s="364" t="s">
        <v>1227</v>
      </c>
      <c r="V739" s="364" t="s">
        <v>463</v>
      </c>
      <c r="W739" s="355">
        <f>Table6[[#This Row],[Breakdown Time]]*(1/39)</f>
        <v>4.273504273504275E-2</v>
      </c>
      <c r="X739" s="353" t="s">
        <v>465</v>
      </c>
      <c r="Y739" s="364" t="s">
        <v>127</v>
      </c>
      <c r="Z739" s="121">
        <v>21856</v>
      </c>
      <c r="AA739" s="123">
        <v>1517.7777777777783</v>
      </c>
      <c r="AB739" s="121" t="s">
        <v>478</v>
      </c>
    </row>
    <row r="740" spans="1:28">
      <c r="A740" s="121">
        <f t="shared" si="11"/>
        <v>739</v>
      </c>
      <c r="B740" s="379">
        <f>YEAR(Table6[[#This Row],[Date]])+IF(MONTH(Table6[[#This Row],[Date]])&gt;=4,1,0)</f>
        <v>2026</v>
      </c>
      <c r="C740" s="39">
        <f>YEAR(Table6[[#This Row],[Date]])</f>
        <v>2025</v>
      </c>
      <c r="D740" s="39" t="s">
        <v>490</v>
      </c>
      <c r="E740" s="135">
        <f>Table6[[#This Row],[Date]]-DAY(Table6[[#This Row],[Date]])+1</f>
        <v>45809</v>
      </c>
      <c r="F740" s="134">
        <v>45817</v>
      </c>
      <c r="G740" s="121" t="s">
        <v>128</v>
      </c>
      <c r="H740" s="39" t="str">
        <f>_xlfn.XLOOKUP(Table6[[#This Row],[Affected WTG]],'Basic Data'!$A:$A,'Basic Data'!$B:$B)</f>
        <v>PWEGPL</v>
      </c>
      <c r="I740" s="39" t="str">
        <f>_xlfn.XLOOKUP(Table6[[#This Row],[Affected WTG]],'Basic Data'!$A:$A,'Basic Data'!$C:$C)</f>
        <v>MSEDCL</v>
      </c>
      <c r="J740" s="363">
        <f>IFERROR(VLOOKUP(Table6[[#This Row],[Affected WTG]],'Basic Data'!$A$3:$E$56,5,0),"")</f>
        <v>2.564102564102564E-2</v>
      </c>
      <c r="K740" s="121">
        <v>2118</v>
      </c>
      <c r="L740" s="39" t="str">
        <f>IFERROR(VLOOKUP(Table6[[#This Row],[Error Code]],'Basic Data'!$T:$U,2,0),"")</f>
        <v>Bus Error - Interbus Failure</v>
      </c>
      <c r="M740" s="364" t="s">
        <v>462</v>
      </c>
      <c r="O740" s="346">
        <v>0.67013888888888884</v>
      </c>
      <c r="P740" s="346">
        <v>0.6875</v>
      </c>
      <c r="Q740" s="346">
        <v>0.68888888888888888</v>
      </c>
      <c r="R740" s="366">
        <f>IF(Table6[[#This Row],[Work Start TimeStamp]]="","",(Table6[[#This Row],[Work Start TimeStamp]]-Table6[[#This Row],[Fault Start TimeStamp]])*24)</f>
        <v>0.41666666666666785</v>
      </c>
      <c r="S740" s="377">
        <f>(Table6[[#This Row],[Fault Clearance time]]-Table6[[#This Row],[Work Start TimeStamp]])*24</f>
        <v>3.3333333333333215E-2</v>
      </c>
      <c r="T740" s="380">
        <f>(Table6[[#This Row],[Fault Clearance time]]-Table6[[#This Row],[Fault Start TimeStamp]])*24</f>
        <v>0.45000000000000107</v>
      </c>
      <c r="U740" s="364" t="s">
        <v>491</v>
      </c>
      <c r="V740" s="364" t="s">
        <v>463</v>
      </c>
      <c r="W740" s="355">
        <f>Table6[[#This Row],[Breakdown Time]]*(1/39)</f>
        <v>1.1538461538461565E-2</v>
      </c>
      <c r="X740" s="353" t="s">
        <v>465</v>
      </c>
      <c r="Y740" s="364" t="s">
        <v>127</v>
      </c>
      <c r="Z740" s="121">
        <v>21856</v>
      </c>
      <c r="AA740" s="123">
        <v>409.80000000000098</v>
      </c>
      <c r="AB740" s="121" t="s">
        <v>478</v>
      </c>
    </row>
    <row r="741" spans="1:28">
      <c r="A741" s="121">
        <f t="shared" si="11"/>
        <v>740</v>
      </c>
      <c r="B741" s="379">
        <f>YEAR(Table6[[#This Row],[Date]])+IF(MONTH(Table6[[#This Row],[Date]])&gt;=4,1,0)</f>
        <v>2026</v>
      </c>
      <c r="C741" s="39">
        <f>YEAR(Table6[[#This Row],[Date]])</f>
        <v>2025</v>
      </c>
      <c r="D741" s="39" t="s">
        <v>490</v>
      </c>
      <c r="E741" s="135">
        <f>Table6[[#This Row],[Date]]-DAY(Table6[[#This Row],[Date]])+1</f>
        <v>45809</v>
      </c>
      <c r="F741" s="134">
        <v>45817</v>
      </c>
      <c r="G741" s="121" t="s">
        <v>134</v>
      </c>
      <c r="H741" s="39" t="str">
        <f>_xlfn.XLOOKUP(Table6[[#This Row],[Affected WTG]],'Basic Data'!$A:$A,'Basic Data'!$B:$B)</f>
        <v>PWEGPL</v>
      </c>
      <c r="I741" s="39" t="str">
        <f>_xlfn.XLOOKUP(Table6[[#This Row],[Affected WTG]],'Basic Data'!$A:$A,'Basic Data'!$C:$C)</f>
        <v>MSEDCL</v>
      </c>
      <c r="J741" s="363">
        <f>IFERROR(VLOOKUP(Table6[[#This Row],[Affected WTG]],'Basic Data'!$A$3:$E$56,5,0),"")</f>
        <v>2.564102564102564E-2</v>
      </c>
      <c r="K741" s="121">
        <v>2118</v>
      </c>
      <c r="L741" s="39" t="str">
        <f>IFERROR(VLOOKUP(Table6[[#This Row],[Error Code]],'Basic Data'!$T:$U,2,0),"")</f>
        <v>Bus Error - Interbus Failure</v>
      </c>
      <c r="M741" s="364" t="s">
        <v>462</v>
      </c>
      <c r="O741" s="346">
        <v>0.44791666666666669</v>
      </c>
      <c r="P741" s="346">
        <v>0.46597222222222223</v>
      </c>
      <c r="Q741" s="346">
        <v>0.50347222222222221</v>
      </c>
      <c r="R741" s="366">
        <f>IF(Table6[[#This Row],[Work Start TimeStamp]]="","",(Table6[[#This Row],[Work Start TimeStamp]]-Table6[[#This Row],[Fault Start TimeStamp]])*24)</f>
        <v>0.43333333333333313</v>
      </c>
      <c r="S741" s="377">
        <f>(Table6[[#This Row],[Fault Clearance time]]-Table6[[#This Row],[Work Start TimeStamp]])*24</f>
        <v>0.89999999999999947</v>
      </c>
      <c r="T741" s="380">
        <f>(Table6[[#This Row],[Fault Clearance time]]-Table6[[#This Row],[Fault Start TimeStamp]])*24</f>
        <v>1.3333333333333326</v>
      </c>
      <c r="U741" s="364" t="s">
        <v>489</v>
      </c>
      <c r="V741" s="364" t="s">
        <v>463</v>
      </c>
      <c r="W741" s="355">
        <f>Table6[[#This Row],[Breakdown Time]]*(1/39)</f>
        <v>3.4188034188034171E-2</v>
      </c>
      <c r="X741" s="353" t="s">
        <v>465</v>
      </c>
      <c r="Y741" s="364" t="s">
        <v>133</v>
      </c>
      <c r="Z741" s="121">
        <v>21878</v>
      </c>
      <c r="AA741" s="123">
        <v>1215.4444444444439</v>
      </c>
      <c r="AB741" s="121" t="s">
        <v>478</v>
      </c>
    </row>
    <row r="742" spans="1:28">
      <c r="A742" s="121">
        <f t="shared" si="11"/>
        <v>741</v>
      </c>
      <c r="B742" s="379">
        <f>YEAR(Table6[[#This Row],[Date]])+IF(MONTH(Table6[[#This Row],[Date]])&gt;=4,1,0)</f>
        <v>2026</v>
      </c>
      <c r="C742" s="39">
        <f>YEAR(Table6[[#This Row],[Date]])</f>
        <v>2025</v>
      </c>
      <c r="D742" s="39" t="s">
        <v>490</v>
      </c>
      <c r="E742" s="135">
        <f>Table6[[#This Row],[Date]]-DAY(Table6[[#This Row],[Date]])+1</f>
        <v>45809</v>
      </c>
      <c r="F742" s="134">
        <v>45817</v>
      </c>
      <c r="G742" s="121" t="s">
        <v>143</v>
      </c>
      <c r="H742" s="39" t="str">
        <f>_xlfn.XLOOKUP(Table6[[#This Row],[Affected WTG]],'Basic Data'!$A:$A,'Basic Data'!$B:$B)</f>
        <v>PWEGPL</v>
      </c>
      <c r="I742" s="39" t="str">
        <f>_xlfn.XLOOKUP(Table6[[#This Row],[Affected WTG]],'Basic Data'!$A:$A,'Basic Data'!$C:$C)</f>
        <v>MSEDCL</v>
      </c>
      <c r="J742" s="363">
        <f>IFERROR(VLOOKUP(Table6[[#This Row],[Affected WTG]],'Basic Data'!$A$3:$E$56,5,0),"")</f>
        <v>2.564102564102564E-2</v>
      </c>
      <c r="K742" s="121">
        <v>205</v>
      </c>
      <c r="L742" s="39" t="str">
        <f>IFERROR(VLOOKUP(Table6[[#This Row],[Error Code]],'Basic Data'!$T:$U,2,0),"")</f>
        <v>Low Level Hydraulic Group Refrigeration Oil</v>
      </c>
      <c r="M742" s="364" t="s">
        <v>462</v>
      </c>
      <c r="O742" s="346">
        <v>0.70833333333333337</v>
      </c>
      <c r="P742" s="346">
        <v>0.72569444444444442</v>
      </c>
      <c r="Q742" s="346">
        <v>0.76388888888888884</v>
      </c>
      <c r="R742" s="366">
        <f>IF(Table6[[#This Row],[Work Start TimeStamp]]="","",(Table6[[#This Row],[Work Start TimeStamp]]-Table6[[#This Row],[Fault Start TimeStamp]])*24)</f>
        <v>0.41666666666666519</v>
      </c>
      <c r="S742" s="377">
        <f>(Table6[[#This Row],[Fault Clearance time]]-Table6[[#This Row],[Work Start TimeStamp]])*24</f>
        <v>0.91666666666666607</v>
      </c>
      <c r="T742" s="380">
        <f>(Table6[[#This Row],[Fault Clearance time]]-Table6[[#This Row],[Fault Start TimeStamp]])*24</f>
        <v>1.3333333333333313</v>
      </c>
      <c r="U742" s="364" t="s">
        <v>1228</v>
      </c>
      <c r="V742" s="364" t="s">
        <v>463</v>
      </c>
      <c r="W742" s="355">
        <f>Table6[[#This Row],[Breakdown Time]]*(1/39)</f>
        <v>3.4188034188034136E-2</v>
      </c>
      <c r="X742" s="353" t="s">
        <v>465</v>
      </c>
      <c r="Y742" s="364" t="s">
        <v>141</v>
      </c>
      <c r="Z742" s="121">
        <v>23434</v>
      </c>
      <c r="AA742" s="123">
        <v>1301.8888888888869</v>
      </c>
      <c r="AB742" s="121" t="s">
        <v>478</v>
      </c>
    </row>
    <row r="743" spans="1:28">
      <c r="A743" s="121">
        <f t="shared" si="11"/>
        <v>742</v>
      </c>
      <c r="B743" s="379">
        <f>YEAR(Table6[[#This Row],[Date]])+IF(MONTH(Table6[[#This Row],[Date]])&gt;=4,1,0)</f>
        <v>2026</v>
      </c>
      <c r="C743" s="39">
        <f>YEAR(Table6[[#This Row],[Date]])</f>
        <v>2025</v>
      </c>
      <c r="D743" s="39" t="s">
        <v>490</v>
      </c>
      <c r="E743" s="135">
        <f>Table6[[#This Row],[Date]]-DAY(Table6[[#This Row],[Date]])+1</f>
        <v>45809</v>
      </c>
      <c r="F743" s="134">
        <v>45817</v>
      </c>
      <c r="G743" s="121" t="s">
        <v>152</v>
      </c>
      <c r="H743" s="39" t="str">
        <f>_xlfn.XLOOKUP(Table6[[#This Row],[Affected WTG]],'Basic Data'!$A:$A,'Basic Data'!$B:$B)</f>
        <v>PWEGPL</v>
      </c>
      <c r="I743" s="39" t="str">
        <f>_xlfn.XLOOKUP(Table6[[#This Row],[Affected WTG]],'Basic Data'!$A:$A,'Basic Data'!$C:$C)</f>
        <v>MSEDCL</v>
      </c>
      <c r="J743" s="363">
        <f>IFERROR(VLOOKUP(Table6[[#This Row],[Affected WTG]],'Basic Data'!$A$3:$E$56,5,0),"")</f>
        <v>2.564102564102564E-2</v>
      </c>
      <c r="K743" s="121">
        <v>5201</v>
      </c>
      <c r="L743" s="39" t="str">
        <f>IFERROR(VLOOKUP(Table6[[#This Row],[Error Code]],'Basic Data'!$T:$U,2,0),"")</f>
        <v>Magnetothermic Trigger Of The Stator Protection</v>
      </c>
      <c r="M743" s="364" t="s">
        <v>462</v>
      </c>
      <c r="O743" s="346">
        <v>0.44583333333333336</v>
      </c>
      <c r="P743" s="346">
        <v>0.47499999999999998</v>
      </c>
      <c r="Q743" s="346">
        <v>0.52083333333333337</v>
      </c>
      <c r="R743" s="366">
        <f>IF(Table6[[#This Row],[Work Start TimeStamp]]="","",(Table6[[#This Row],[Work Start TimeStamp]]-Table6[[#This Row],[Fault Start TimeStamp]])*24)</f>
        <v>0.69999999999999885</v>
      </c>
      <c r="S743" s="377">
        <f>(Table6[[#This Row],[Fault Clearance time]]-Table6[[#This Row],[Work Start TimeStamp]])*24</f>
        <v>1.1000000000000014</v>
      </c>
      <c r="T743" s="380">
        <f>(Table6[[#This Row],[Fault Clearance time]]-Table6[[#This Row],[Fault Start TimeStamp]])*24</f>
        <v>1.8000000000000003</v>
      </c>
      <c r="U743" s="364" t="s">
        <v>1229</v>
      </c>
      <c r="V743" s="364" t="s">
        <v>463</v>
      </c>
      <c r="W743" s="355">
        <f>Table6[[#This Row],[Breakdown Time]]*(1/39)</f>
        <v>4.6153846153846156E-2</v>
      </c>
      <c r="X743" s="353" t="s">
        <v>465</v>
      </c>
      <c r="Y743" s="364" t="s">
        <v>153</v>
      </c>
      <c r="Z743" s="121">
        <v>20145</v>
      </c>
      <c r="AA743" s="123">
        <v>1510.8750000000002</v>
      </c>
      <c r="AB743" s="121" t="s">
        <v>478</v>
      </c>
    </row>
    <row r="744" spans="1:28">
      <c r="A744" s="121">
        <f t="shared" si="11"/>
        <v>743</v>
      </c>
      <c r="B744" s="379">
        <f>YEAR(Table6[[#This Row],[Date]])+IF(MONTH(Table6[[#This Row],[Date]])&gt;=4,1,0)</f>
        <v>2026</v>
      </c>
      <c r="C744" s="39">
        <f>YEAR(Table6[[#This Row],[Date]])</f>
        <v>2025</v>
      </c>
      <c r="D744" s="39" t="s">
        <v>490</v>
      </c>
      <c r="E744" s="135">
        <f>Table6[[#This Row],[Date]]-DAY(Table6[[#This Row],[Date]])+1</f>
        <v>45809</v>
      </c>
      <c r="F744" s="134">
        <v>45817</v>
      </c>
      <c r="G744" s="121" t="s">
        <v>140</v>
      </c>
      <c r="H744" s="39" t="str">
        <f>_xlfn.XLOOKUP(Table6[[#This Row],[Affected WTG]],'Basic Data'!$A:$A,'Basic Data'!$B:$B)</f>
        <v>PWEGPL</v>
      </c>
      <c r="I744" s="39" t="str">
        <f>_xlfn.XLOOKUP(Table6[[#This Row],[Affected WTG]],'Basic Data'!$A:$A,'Basic Data'!$C:$C)</f>
        <v>MSEDCL</v>
      </c>
      <c r="J744" s="363">
        <f>IFERROR(VLOOKUP(Table6[[#This Row],[Affected WTG]],'Basic Data'!$A$3:$E$56,5,0),"")</f>
        <v>2.564102564102564E-2</v>
      </c>
      <c r="K744" s="121" t="s">
        <v>492</v>
      </c>
      <c r="L744" s="39" t="str">
        <f>IFERROR(VLOOKUP(Table6[[#This Row],[Error Code]],'Basic Data'!$T:$U,2,0),"")</f>
        <v>Manual Stop - Safety Related</v>
      </c>
      <c r="M744" s="364" t="s">
        <v>481</v>
      </c>
      <c r="O744" s="346">
        <v>0.58680555555555558</v>
      </c>
      <c r="P744" s="346">
        <v>0.58680555555555558</v>
      </c>
      <c r="Q744" s="346">
        <v>0.71875</v>
      </c>
      <c r="R744" s="366">
        <f>IF(Table6[[#This Row],[Work Start TimeStamp]]="","",(Table6[[#This Row],[Work Start TimeStamp]]-Table6[[#This Row],[Fault Start TimeStamp]])*24)</f>
        <v>0</v>
      </c>
      <c r="S744" s="377">
        <f>(Table6[[#This Row],[Fault Clearance time]]-Table6[[#This Row],[Work Start TimeStamp]])*24</f>
        <v>3.1666666666666661</v>
      </c>
      <c r="T744" s="380">
        <f>(Table6[[#This Row],[Fault Clearance time]]-Table6[[#This Row],[Fault Start TimeStamp]])*24</f>
        <v>3.1666666666666661</v>
      </c>
      <c r="U744" s="364" t="s">
        <v>508</v>
      </c>
      <c r="V744" s="364" t="s">
        <v>463</v>
      </c>
      <c r="W744" s="355">
        <f>Table6[[#This Row],[Breakdown Time]]*(1/39)</f>
        <v>8.1196581196581172E-2</v>
      </c>
      <c r="X744" s="353" t="s">
        <v>468</v>
      </c>
      <c r="Y744" s="364" t="s">
        <v>138</v>
      </c>
      <c r="Z744" s="121">
        <v>23421</v>
      </c>
      <c r="AA744" s="123">
        <v>3090.2708333333326</v>
      </c>
      <c r="AB744" s="121" t="s">
        <v>478</v>
      </c>
    </row>
    <row r="745" spans="1:28">
      <c r="A745" s="121">
        <f t="shared" si="11"/>
        <v>744</v>
      </c>
      <c r="B745" s="379">
        <f>YEAR(Table6[[#This Row],[Date]])+IF(MONTH(Table6[[#This Row],[Date]])&gt;=4,1,0)</f>
        <v>2026</v>
      </c>
      <c r="C745" s="39">
        <f>YEAR(Table6[[#This Row],[Date]])</f>
        <v>2025</v>
      </c>
      <c r="D745" s="39" t="s">
        <v>490</v>
      </c>
      <c r="E745" s="135">
        <f>Table6[[#This Row],[Date]]-DAY(Table6[[#This Row],[Date]])+1</f>
        <v>45809</v>
      </c>
      <c r="F745" s="134">
        <v>45818</v>
      </c>
      <c r="G745" s="121" t="s">
        <v>144</v>
      </c>
      <c r="H745" s="39" t="str">
        <f>_xlfn.XLOOKUP(Table6[[#This Row],[Affected WTG]],'Basic Data'!$A:$A,'Basic Data'!$B:$B)</f>
        <v>PWEGPL</v>
      </c>
      <c r="I745" s="39" t="str">
        <f>_xlfn.XLOOKUP(Table6[[#This Row],[Affected WTG]],'Basic Data'!$A:$A,'Basic Data'!$C:$C)</f>
        <v>MSEDCL</v>
      </c>
      <c r="J745" s="363">
        <f>IFERROR(VLOOKUP(Table6[[#This Row],[Affected WTG]],'Basic Data'!$A$3:$E$56,5,0),"")</f>
        <v>2.564102564102564E-2</v>
      </c>
      <c r="K745" s="121" t="s">
        <v>492</v>
      </c>
      <c r="L745" s="39" t="str">
        <f>IFERROR(VLOOKUP(Table6[[#This Row],[Error Code]],'Basic Data'!$T:$U,2,0),"")</f>
        <v>Manual Stop - Safety Related</v>
      </c>
      <c r="M745" s="364" t="s">
        <v>481</v>
      </c>
      <c r="O745" s="346">
        <v>0</v>
      </c>
      <c r="P745" s="346">
        <v>0.99998842592592596</v>
      </c>
      <c r="Q745" s="346">
        <v>0.99998842592592596</v>
      </c>
      <c r="R745" s="366">
        <f>IF(Table6[[#This Row],[Work Start TimeStamp]]="","",(Table6[[#This Row],[Work Start TimeStamp]]-Table6[[#This Row],[Fault Start TimeStamp]])*24)</f>
        <v>23.999722222222225</v>
      </c>
      <c r="S745" s="377">
        <f>(Table6[[#This Row],[Fault Clearance time]]-Table6[[#This Row],[Work Start TimeStamp]])*24</f>
        <v>0</v>
      </c>
      <c r="T745" s="380">
        <f>(Table6[[#This Row],[Fault Clearance time]]-Table6[[#This Row],[Fault Start TimeStamp]])*24</f>
        <v>23.999722222222225</v>
      </c>
      <c r="U745" s="364" t="s">
        <v>498</v>
      </c>
      <c r="V745" s="364" t="s">
        <v>473</v>
      </c>
      <c r="W745" s="355">
        <f>Table6[[#This Row],[Breakdown Time]]*(1/39)</f>
        <v>0.61537749287749288</v>
      </c>
      <c r="X745" s="353" t="s">
        <v>468</v>
      </c>
      <c r="Y745" s="364" t="s">
        <v>141</v>
      </c>
      <c r="Z745" s="121">
        <v>12689</v>
      </c>
      <c r="AA745" s="123">
        <v>12688.853136574076</v>
      </c>
      <c r="AB745" s="121" t="s">
        <v>478</v>
      </c>
    </row>
    <row r="746" spans="1:28">
      <c r="A746" s="121">
        <f t="shared" si="11"/>
        <v>745</v>
      </c>
      <c r="B746" s="379">
        <f>YEAR(Table6[[#This Row],[Date]])+IF(MONTH(Table6[[#This Row],[Date]])&gt;=4,1,0)</f>
        <v>2026</v>
      </c>
      <c r="C746" s="39">
        <f>YEAR(Table6[[#This Row],[Date]])</f>
        <v>2025</v>
      </c>
      <c r="D746" s="39" t="s">
        <v>490</v>
      </c>
      <c r="E746" s="135">
        <f>Table6[[#This Row],[Date]]-DAY(Table6[[#This Row],[Date]])+1</f>
        <v>45809</v>
      </c>
      <c r="F746" s="134">
        <v>45818</v>
      </c>
      <c r="G746" s="121" t="s">
        <v>142</v>
      </c>
      <c r="H746" s="39" t="str">
        <f>_xlfn.XLOOKUP(Table6[[#This Row],[Affected WTG]],'Basic Data'!$A:$A,'Basic Data'!$B:$B)</f>
        <v>PWEGPL</v>
      </c>
      <c r="I746" s="39" t="str">
        <f>_xlfn.XLOOKUP(Table6[[#This Row],[Affected WTG]],'Basic Data'!$A:$A,'Basic Data'!$C:$C)</f>
        <v>MSEDCL</v>
      </c>
      <c r="J746" s="363">
        <f>IFERROR(VLOOKUP(Table6[[#This Row],[Affected WTG]],'Basic Data'!$A$3:$E$56,5,0),"")</f>
        <v>2.564102564102564E-2</v>
      </c>
      <c r="K746" s="121" t="s">
        <v>492</v>
      </c>
      <c r="L746" s="39" t="str">
        <f>IFERROR(VLOOKUP(Table6[[#This Row],[Error Code]],'Basic Data'!$T:$U,2,0),"")</f>
        <v>Manual Stop - Safety Related</v>
      </c>
      <c r="M746" s="364" t="s">
        <v>481</v>
      </c>
      <c r="O746" s="346">
        <v>0</v>
      </c>
      <c r="P746" s="346">
        <v>0.99998842592592596</v>
      </c>
      <c r="Q746" s="346">
        <v>0.99998842592592596</v>
      </c>
      <c r="R746" s="366">
        <f>IF(Table6[[#This Row],[Work Start TimeStamp]]="","",(Table6[[#This Row],[Work Start TimeStamp]]-Table6[[#This Row],[Fault Start TimeStamp]])*24)</f>
        <v>23.999722222222225</v>
      </c>
      <c r="S746" s="377">
        <f>(Table6[[#This Row],[Fault Clearance time]]-Table6[[#This Row],[Work Start TimeStamp]])*24</f>
        <v>0</v>
      </c>
      <c r="T746" s="380">
        <f>(Table6[[#This Row],[Fault Clearance time]]-Table6[[#This Row],[Fault Start TimeStamp]])*24</f>
        <v>23.999722222222225</v>
      </c>
      <c r="U746" s="364" t="s">
        <v>498</v>
      </c>
      <c r="V746" s="364" t="s">
        <v>473</v>
      </c>
      <c r="W746" s="355">
        <f>Table6[[#This Row],[Breakdown Time]]*(1/39)</f>
        <v>0.61537749287749288</v>
      </c>
      <c r="X746" s="353" t="s">
        <v>468</v>
      </c>
      <c r="Y746" s="364" t="s">
        <v>141</v>
      </c>
      <c r="Z746" s="121">
        <v>12689</v>
      </c>
      <c r="AA746" s="123">
        <v>12688.853136574076</v>
      </c>
      <c r="AB746" s="121" t="s">
        <v>478</v>
      </c>
    </row>
    <row r="747" spans="1:28">
      <c r="A747" s="121">
        <f t="shared" si="11"/>
        <v>746</v>
      </c>
      <c r="B747" s="379">
        <f>YEAR(Table6[[#This Row],[Date]])+IF(MONTH(Table6[[#This Row],[Date]])&gt;=4,1,0)</f>
        <v>2026</v>
      </c>
      <c r="C747" s="39">
        <f>YEAR(Table6[[#This Row],[Date]])</f>
        <v>2025</v>
      </c>
      <c r="D747" s="39" t="s">
        <v>490</v>
      </c>
      <c r="E747" s="135">
        <f>Table6[[#This Row],[Date]]-DAY(Table6[[#This Row],[Date]])+1</f>
        <v>45809</v>
      </c>
      <c r="F747" s="134">
        <v>45818</v>
      </c>
      <c r="G747" s="121" t="s">
        <v>116</v>
      </c>
      <c r="H747" s="39" t="str">
        <f>_xlfn.XLOOKUP(Table6[[#This Row],[Affected WTG]],'Basic Data'!$A:$A,'Basic Data'!$B:$B)</f>
        <v>PWEGPL</v>
      </c>
      <c r="I747" s="39" t="str">
        <f>_xlfn.XLOOKUP(Table6[[#This Row],[Affected WTG]],'Basic Data'!$A:$A,'Basic Data'!$C:$C)</f>
        <v>MSEDCL</v>
      </c>
      <c r="J747" s="363">
        <f>IFERROR(VLOOKUP(Table6[[#This Row],[Affected WTG]],'Basic Data'!$A$3:$E$56,5,0),"")</f>
        <v>2.564102564102564E-2</v>
      </c>
      <c r="K747" s="121" t="s">
        <v>476</v>
      </c>
      <c r="L747" s="39" t="str">
        <f>IFERROR(VLOOKUP(Table6[[#This Row],[Error Code]],'Basic Data'!$T:$U,2,0),"")</f>
        <v>Manual Stop - Preventive Maintenance Activity</v>
      </c>
      <c r="M747" s="364" t="s">
        <v>474</v>
      </c>
      <c r="O747" s="346">
        <v>0.49652777777777779</v>
      </c>
      <c r="P747" s="346">
        <v>0.49652777777777779</v>
      </c>
      <c r="Q747" s="346">
        <v>0.78055555555555556</v>
      </c>
      <c r="R747" s="366">
        <f>IF(Table6[[#This Row],[Work Start TimeStamp]]="","",(Table6[[#This Row],[Work Start TimeStamp]]-Table6[[#This Row],[Fault Start TimeStamp]])*24)</f>
        <v>0</v>
      </c>
      <c r="S747" s="367">
        <f>(Table6[[#This Row],[Fault Clearance time]]-Table6[[#This Row],[Work Start TimeStamp]])*24</f>
        <v>6.8166666666666664</v>
      </c>
      <c r="T747" s="368">
        <f>(Table6[[#This Row],[Fault Clearance time]]-Table6[[#This Row],[Fault Start TimeStamp]])*24</f>
        <v>6.8166666666666664</v>
      </c>
      <c r="U747" s="364" t="s">
        <v>582</v>
      </c>
      <c r="V747" s="364" t="s">
        <v>463</v>
      </c>
      <c r="W747" s="355">
        <f>Table6[[#This Row],[Breakdown Time]]*(1/39)</f>
        <v>0.17478632478632478</v>
      </c>
      <c r="X747" s="353" t="s">
        <v>467</v>
      </c>
      <c r="Y747" s="364" t="s">
        <v>118</v>
      </c>
      <c r="Z747" s="121">
        <v>13335</v>
      </c>
      <c r="AA747" s="123">
        <v>3787.5104166666665</v>
      </c>
      <c r="AB747" s="121" t="s">
        <v>478</v>
      </c>
    </row>
    <row r="748" spans="1:28">
      <c r="A748" s="121">
        <f t="shared" si="11"/>
        <v>747</v>
      </c>
      <c r="B748" s="379">
        <f>YEAR(Table6[[#This Row],[Date]])+IF(MONTH(Table6[[#This Row],[Date]])&gt;=4,1,0)</f>
        <v>2026</v>
      </c>
      <c r="C748" s="39">
        <f>YEAR(Table6[[#This Row],[Date]])</f>
        <v>2025</v>
      </c>
      <c r="D748" s="39" t="s">
        <v>490</v>
      </c>
      <c r="E748" s="135">
        <f>Table6[[#This Row],[Date]]-DAY(Table6[[#This Row],[Date]])+1</f>
        <v>45809</v>
      </c>
      <c r="F748" s="134">
        <v>45818</v>
      </c>
      <c r="G748" s="121" t="s">
        <v>128</v>
      </c>
      <c r="H748" s="39" t="str">
        <f>_xlfn.XLOOKUP(Table6[[#This Row],[Affected WTG]],'Basic Data'!$A:$A,'Basic Data'!$B:$B)</f>
        <v>PWEGPL</v>
      </c>
      <c r="I748" s="39" t="str">
        <f>_xlfn.XLOOKUP(Table6[[#This Row],[Affected WTG]],'Basic Data'!$A:$A,'Basic Data'!$C:$C)</f>
        <v>MSEDCL</v>
      </c>
      <c r="J748" s="363">
        <f>IFERROR(VLOOKUP(Table6[[#This Row],[Affected WTG]],'Basic Data'!$A$3:$E$56,5,0),"")</f>
        <v>2.564102564102564E-2</v>
      </c>
      <c r="K748" s="121">
        <v>203</v>
      </c>
      <c r="L748" s="39" t="str">
        <f>IFERROR(VLOOKUP(Table6[[#This Row],[Error Code]],'Basic Data'!$T:$U,2,0),"")</f>
        <v>Low Pressure On Hydraulic Group</v>
      </c>
      <c r="M748" s="364" t="s">
        <v>462</v>
      </c>
      <c r="O748" s="346">
        <v>0.64583333333333337</v>
      </c>
      <c r="P748" s="346">
        <v>0.67013888888888884</v>
      </c>
      <c r="Q748" s="346">
        <v>0.82638888888888884</v>
      </c>
      <c r="R748" s="366">
        <f>IF(Table6[[#This Row],[Work Start TimeStamp]]="","",(Table6[[#This Row],[Work Start TimeStamp]]-Table6[[#This Row],[Fault Start TimeStamp]])*24)</f>
        <v>0.58333333333333126</v>
      </c>
      <c r="S748" s="377">
        <f>(Table6[[#This Row],[Fault Clearance time]]-Table6[[#This Row],[Work Start TimeStamp]])*24</f>
        <v>3.75</v>
      </c>
      <c r="T748" s="380">
        <f>(Table6[[#This Row],[Fault Clearance time]]-Table6[[#This Row],[Fault Start TimeStamp]])*24</f>
        <v>4.3333333333333313</v>
      </c>
      <c r="U748" s="364" t="s">
        <v>1230</v>
      </c>
      <c r="V748" s="364" t="s">
        <v>463</v>
      </c>
      <c r="W748" s="355">
        <f>Table6[[#This Row],[Breakdown Time]]*(1/39)</f>
        <v>0.11111111111111105</v>
      </c>
      <c r="X748" s="353" t="s">
        <v>465</v>
      </c>
      <c r="Y748" s="364" t="s">
        <v>127</v>
      </c>
      <c r="Z748" s="121">
        <v>22342</v>
      </c>
      <c r="AA748" s="123">
        <v>4033.9722222222204</v>
      </c>
      <c r="AB748" s="121" t="s">
        <v>478</v>
      </c>
    </row>
    <row r="749" spans="1:28">
      <c r="A749" s="121">
        <f t="shared" si="11"/>
        <v>748</v>
      </c>
      <c r="B749" s="379">
        <f>YEAR(Table6[[#This Row],[Date]])+IF(MONTH(Table6[[#This Row],[Date]])&gt;=4,1,0)</f>
        <v>2026</v>
      </c>
      <c r="C749" s="39">
        <f>YEAR(Table6[[#This Row],[Date]])</f>
        <v>2025</v>
      </c>
      <c r="D749" s="39" t="s">
        <v>490</v>
      </c>
      <c r="E749" s="135">
        <f>Table6[[#This Row],[Date]]-DAY(Table6[[#This Row],[Date]])+1</f>
        <v>45809</v>
      </c>
      <c r="F749" s="134">
        <v>45818</v>
      </c>
      <c r="G749" s="121" t="s">
        <v>129</v>
      </c>
      <c r="H749" s="39" t="str">
        <f>_xlfn.XLOOKUP(Table6[[#This Row],[Affected WTG]],'Basic Data'!$A:$A,'Basic Data'!$B:$B)</f>
        <v>PWEGPL</v>
      </c>
      <c r="I749" s="39" t="str">
        <f>_xlfn.XLOOKUP(Table6[[#This Row],[Affected WTG]],'Basic Data'!$A:$A,'Basic Data'!$C:$C)</f>
        <v>MSEDCL</v>
      </c>
      <c r="J749" s="363">
        <f>IFERROR(VLOOKUP(Table6[[#This Row],[Affected WTG]],'Basic Data'!$A$3:$E$56,5,0),"")</f>
        <v>2.564102564102564E-2</v>
      </c>
      <c r="K749" s="121" t="s">
        <v>466</v>
      </c>
      <c r="L749" s="39" t="str">
        <f>IFERROR(VLOOKUP(Table6[[#This Row],[Error Code]],'Basic Data'!$T:$U,2,0),"")</f>
        <v>Manual Stop</v>
      </c>
      <c r="M749" s="364" t="s">
        <v>479</v>
      </c>
      <c r="O749" s="346">
        <v>0.67708333333333337</v>
      </c>
      <c r="P749" s="346">
        <v>0.67708333333333337</v>
      </c>
      <c r="Q749" s="346">
        <v>0.74305555555555558</v>
      </c>
      <c r="R749" s="366">
        <f>IF(Table6[[#This Row],[Work Start TimeStamp]]="","",(Table6[[#This Row],[Work Start TimeStamp]]-Table6[[#This Row],[Fault Start TimeStamp]])*24)</f>
        <v>0</v>
      </c>
      <c r="S749" s="377">
        <f>(Table6[[#This Row],[Fault Clearance time]]-Table6[[#This Row],[Work Start TimeStamp]])*24</f>
        <v>1.583333333333333</v>
      </c>
      <c r="T749" s="380">
        <f>(Table6[[#This Row],[Fault Clearance time]]-Table6[[#This Row],[Fault Start TimeStamp]])*24</f>
        <v>1.583333333333333</v>
      </c>
      <c r="U749" s="364" t="s">
        <v>1231</v>
      </c>
      <c r="V749" s="364" t="s">
        <v>463</v>
      </c>
      <c r="W749" s="355">
        <f>Table6[[#This Row],[Breakdown Time]]*(1/39)</f>
        <v>4.0598290598290586E-2</v>
      </c>
      <c r="X749" s="353" t="s">
        <v>464</v>
      </c>
      <c r="Y749" s="364" t="s">
        <v>130</v>
      </c>
      <c r="Z749" s="121">
        <v>21522</v>
      </c>
      <c r="AA749" s="123">
        <v>1419.8541666666663</v>
      </c>
      <c r="AB749" s="121" t="s">
        <v>478</v>
      </c>
    </row>
    <row r="750" spans="1:28">
      <c r="A750" s="121">
        <f t="shared" si="11"/>
        <v>749</v>
      </c>
      <c r="B750" s="379">
        <f>YEAR(Table6[[#This Row],[Date]])+IF(MONTH(Table6[[#This Row],[Date]])&gt;=4,1,0)</f>
        <v>2026</v>
      </c>
      <c r="C750" s="39">
        <f>YEAR(Table6[[#This Row],[Date]])</f>
        <v>2025</v>
      </c>
      <c r="D750" s="39" t="s">
        <v>490</v>
      </c>
      <c r="E750" s="135">
        <f>Table6[[#This Row],[Date]]-DAY(Table6[[#This Row],[Date]])+1</f>
        <v>45809</v>
      </c>
      <c r="F750" s="134">
        <v>45818</v>
      </c>
      <c r="G750" s="121" t="s">
        <v>130</v>
      </c>
      <c r="H750" s="39" t="str">
        <f>_xlfn.XLOOKUP(Table6[[#This Row],[Affected WTG]],'Basic Data'!$A:$A,'Basic Data'!$B:$B)</f>
        <v>PWEGPL</v>
      </c>
      <c r="I750" s="39" t="str">
        <f>_xlfn.XLOOKUP(Table6[[#This Row],[Affected WTG]],'Basic Data'!$A:$A,'Basic Data'!$C:$C)</f>
        <v>MSEDCL</v>
      </c>
      <c r="J750" s="363">
        <f>IFERROR(VLOOKUP(Table6[[#This Row],[Affected WTG]],'Basic Data'!$A$3:$E$56,5,0),"")</f>
        <v>2.564102564102564E-2</v>
      </c>
      <c r="K750" s="121" t="s">
        <v>466</v>
      </c>
      <c r="L750" s="39" t="str">
        <f>IFERROR(VLOOKUP(Table6[[#This Row],[Error Code]],'Basic Data'!$T:$U,2,0),"")</f>
        <v>Manual Stop</v>
      </c>
      <c r="M750" s="364" t="s">
        <v>479</v>
      </c>
      <c r="O750" s="346">
        <v>0.4777777777777778</v>
      </c>
      <c r="P750" s="346">
        <v>0.4777777777777778</v>
      </c>
      <c r="Q750" s="346">
        <v>0.53472222222222221</v>
      </c>
      <c r="R750" s="366">
        <f>IF(Table6[[#This Row],[Work Start TimeStamp]]="","",(Table6[[#This Row],[Work Start TimeStamp]]-Table6[[#This Row],[Fault Start TimeStamp]])*24)</f>
        <v>0</v>
      </c>
      <c r="S750" s="377">
        <f>(Table6[[#This Row],[Fault Clearance time]]-Table6[[#This Row],[Work Start TimeStamp]])*24</f>
        <v>1.3666666666666658</v>
      </c>
      <c r="T750" s="380">
        <f>(Table6[[#This Row],[Fault Clearance time]]-Table6[[#This Row],[Fault Start TimeStamp]])*24</f>
        <v>1.3666666666666658</v>
      </c>
      <c r="U750" s="364" t="s">
        <v>1231</v>
      </c>
      <c r="V750" s="364" t="s">
        <v>463</v>
      </c>
      <c r="W750" s="355">
        <f>Table6[[#This Row],[Breakdown Time]]*(1/39)</f>
        <v>3.5042735042735022E-2</v>
      </c>
      <c r="X750" s="353" t="s">
        <v>464</v>
      </c>
      <c r="Y750" s="364" t="s">
        <v>131</v>
      </c>
      <c r="Z750" s="121">
        <v>22321</v>
      </c>
      <c r="AA750" s="123">
        <v>1271.0569444444436</v>
      </c>
      <c r="AB750" s="121" t="s">
        <v>478</v>
      </c>
    </row>
    <row r="751" spans="1:28">
      <c r="A751" s="121">
        <f t="shared" si="11"/>
        <v>750</v>
      </c>
      <c r="B751" s="379">
        <f>YEAR(Table6[[#This Row],[Date]])+IF(MONTH(Table6[[#This Row],[Date]])&gt;=4,1,0)</f>
        <v>2026</v>
      </c>
      <c r="C751" s="39">
        <f>YEAR(Table6[[#This Row],[Date]])</f>
        <v>2025</v>
      </c>
      <c r="D751" s="39" t="s">
        <v>490</v>
      </c>
      <c r="E751" s="135">
        <f>Table6[[#This Row],[Date]]-DAY(Table6[[#This Row],[Date]])+1</f>
        <v>45809</v>
      </c>
      <c r="F751" s="134">
        <v>45818</v>
      </c>
      <c r="G751" s="121" t="s">
        <v>134</v>
      </c>
      <c r="H751" s="39" t="str">
        <f>_xlfn.XLOOKUP(Table6[[#This Row],[Affected WTG]],'Basic Data'!$A:$A,'Basic Data'!$B:$B)</f>
        <v>PWEGPL</v>
      </c>
      <c r="I751" s="39" t="str">
        <f>_xlfn.XLOOKUP(Table6[[#This Row],[Affected WTG]],'Basic Data'!$A:$A,'Basic Data'!$C:$C)</f>
        <v>MSEDCL</v>
      </c>
      <c r="J751" s="363">
        <f>IFERROR(VLOOKUP(Table6[[#This Row],[Affected WTG]],'Basic Data'!$A$3:$E$56,5,0),"")</f>
        <v>2.564102564102564E-2</v>
      </c>
      <c r="K751" s="121">
        <v>2118</v>
      </c>
      <c r="L751" s="39" t="str">
        <f>IFERROR(VLOOKUP(Table6[[#This Row],[Error Code]],'Basic Data'!$T:$U,2,0),"")</f>
        <v>Bus Error - Interbus Failure</v>
      </c>
      <c r="M751" s="364" t="s">
        <v>462</v>
      </c>
      <c r="O751" s="346">
        <v>0.49305555555555558</v>
      </c>
      <c r="P751" s="346">
        <v>0.51388888888888884</v>
      </c>
      <c r="Q751" s="346">
        <v>0.59930555555555554</v>
      </c>
      <c r="R751" s="366">
        <f>IF(Table6[[#This Row],[Work Start TimeStamp]]="","",(Table6[[#This Row],[Work Start TimeStamp]]-Table6[[#This Row],[Fault Start TimeStamp]])*24)</f>
        <v>0.49999999999999822</v>
      </c>
      <c r="S751" s="377">
        <f>(Table6[[#This Row],[Fault Clearance time]]-Table6[[#This Row],[Work Start TimeStamp]])*24</f>
        <v>2.0500000000000007</v>
      </c>
      <c r="T751" s="380">
        <f>(Table6[[#This Row],[Fault Clearance time]]-Table6[[#This Row],[Fault Start TimeStamp]])*24</f>
        <v>2.5499999999999989</v>
      </c>
      <c r="U751" s="364" t="s">
        <v>1232</v>
      </c>
      <c r="V751" s="364" t="s">
        <v>463</v>
      </c>
      <c r="W751" s="355">
        <f>Table6[[#This Row],[Breakdown Time]]*(1/39)</f>
        <v>6.538461538461536E-2</v>
      </c>
      <c r="X751" s="353" t="s">
        <v>465</v>
      </c>
      <c r="Y751" s="364" t="s">
        <v>133</v>
      </c>
      <c r="Z751" s="121">
        <v>22345</v>
      </c>
      <c r="AA751" s="123">
        <v>2374.1562499999991</v>
      </c>
      <c r="AB751" s="121" t="s">
        <v>478</v>
      </c>
    </row>
    <row r="752" spans="1:28">
      <c r="A752" s="121">
        <f t="shared" si="11"/>
        <v>751</v>
      </c>
      <c r="B752" s="379">
        <f>YEAR(Table6[[#This Row],[Date]])+IF(MONTH(Table6[[#This Row],[Date]])&gt;=4,1,0)</f>
        <v>2026</v>
      </c>
      <c r="C752" s="39">
        <f>YEAR(Table6[[#This Row],[Date]])</f>
        <v>2025</v>
      </c>
      <c r="D752" s="39" t="s">
        <v>490</v>
      </c>
      <c r="E752" s="135">
        <f>Table6[[#This Row],[Date]]-DAY(Table6[[#This Row],[Date]])+1</f>
        <v>45809</v>
      </c>
      <c r="F752" s="134">
        <v>45818</v>
      </c>
      <c r="G752" s="121" t="s">
        <v>137</v>
      </c>
      <c r="H752" s="39" t="str">
        <f>_xlfn.XLOOKUP(Table6[[#This Row],[Affected WTG]],'Basic Data'!$A:$A,'Basic Data'!$B:$B)</f>
        <v>PWEGPL</v>
      </c>
      <c r="I752" s="39" t="str">
        <f>_xlfn.XLOOKUP(Table6[[#This Row],[Affected WTG]],'Basic Data'!$A:$A,'Basic Data'!$C:$C)</f>
        <v>MSEDCL</v>
      </c>
      <c r="J752" s="363">
        <f>IFERROR(VLOOKUP(Table6[[#This Row],[Affected WTG]],'Basic Data'!$A$3:$E$56,5,0),"")</f>
        <v>2.564102564102564E-2</v>
      </c>
      <c r="K752" s="121">
        <v>502</v>
      </c>
      <c r="L752" s="39" t="str">
        <f>IFERROR(VLOOKUP(Table6[[#This Row],[Error Code]],'Basic Data'!$T:$U,2,0),"")</f>
        <v>Generator NDE Bearing High Temperature Alarm</v>
      </c>
      <c r="M752" s="364" t="s">
        <v>462</v>
      </c>
      <c r="O752" s="346">
        <v>0.39930555555555558</v>
      </c>
      <c r="P752" s="346">
        <v>0.49166666666666664</v>
      </c>
      <c r="Q752" s="346">
        <v>0.59027777777777779</v>
      </c>
      <c r="R752" s="366">
        <f>IF(Table6[[#This Row],[Work Start TimeStamp]]="","",(Table6[[#This Row],[Work Start TimeStamp]]-Table6[[#This Row],[Fault Start TimeStamp]])*24)</f>
        <v>2.2166666666666655</v>
      </c>
      <c r="S752" s="377">
        <f>(Table6[[#This Row],[Fault Clearance time]]-Table6[[#This Row],[Work Start TimeStamp]])*24</f>
        <v>2.3666666666666676</v>
      </c>
      <c r="T752" s="380">
        <f>(Table6[[#This Row],[Fault Clearance time]]-Table6[[#This Row],[Fault Start TimeStamp]])*24</f>
        <v>4.583333333333333</v>
      </c>
      <c r="U752" s="364" t="s">
        <v>1233</v>
      </c>
      <c r="V752" s="364" t="s">
        <v>463</v>
      </c>
      <c r="W752" s="355">
        <f>Table6[[#This Row],[Breakdown Time]]*(1/39)</f>
        <v>0.11752136752136751</v>
      </c>
      <c r="X752" s="353" t="s">
        <v>465</v>
      </c>
      <c r="Y752" s="364" t="s">
        <v>119</v>
      </c>
      <c r="Z752" s="121">
        <v>12629</v>
      </c>
      <c r="AA752" s="123">
        <v>2411.7881944444443</v>
      </c>
      <c r="AB752" s="121" t="s">
        <v>478</v>
      </c>
    </row>
    <row r="753" spans="1:28">
      <c r="A753" s="121">
        <f t="shared" si="11"/>
        <v>752</v>
      </c>
      <c r="B753" s="379">
        <f>YEAR(Table6[[#This Row],[Date]])+IF(MONTH(Table6[[#This Row],[Date]])&gt;=4,1,0)</f>
        <v>2026</v>
      </c>
      <c r="C753" s="39">
        <f>YEAR(Table6[[#This Row],[Date]])</f>
        <v>2025</v>
      </c>
      <c r="D753" s="39" t="s">
        <v>490</v>
      </c>
      <c r="E753" s="135">
        <f>Table6[[#This Row],[Date]]-DAY(Table6[[#This Row],[Date]])+1</f>
        <v>45809</v>
      </c>
      <c r="F753" s="134">
        <v>45819</v>
      </c>
      <c r="G753" s="121" t="s">
        <v>144</v>
      </c>
      <c r="H753" s="39" t="str">
        <f>_xlfn.XLOOKUP(Table6[[#This Row],[Affected WTG]],'Basic Data'!$A:$A,'Basic Data'!$B:$B)</f>
        <v>PWEGPL</v>
      </c>
      <c r="I753" s="39" t="str">
        <f>_xlfn.XLOOKUP(Table6[[#This Row],[Affected WTG]],'Basic Data'!$A:$A,'Basic Data'!$C:$C)</f>
        <v>MSEDCL</v>
      </c>
      <c r="J753" s="363">
        <f>IFERROR(VLOOKUP(Table6[[#This Row],[Affected WTG]],'Basic Data'!$A$3:$E$56,5,0),"")</f>
        <v>2.564102564102564E-2</v>
      </c>
      <c r="K753" s="121" t="s">
        <v>492</v>
      </c>
      <c r="L753" s="39" t="str">
        <f>IFERROR(VLOOKUP(Table6[[#This Row],[Error Code]],'Basic Data'!$T:$U,2,0),"")</f>
        <v>Manual Stop - Safety Related</v>
      </c>
      <c r="M753" s="364" t="s">
        <v>481</v>
      </c>
      <c r="O753" s="346">
        <v>0</v>
      </c>
      <c r="P753" s="346">
        <v>0.99998842592592596</v>
      </c>
      <c r="Q753" s="346">
        <v>0.99998842592592596</v>
      </c>
      <c r="R753" s="366">
        <f>IF(Table6[[#This Row],[Work Start TimeStamp]]="","",(Table6[[#This Row],[Work Start TimeStamp]]-Table6[[#This Row],[Fault Start TimeStamp]])*24)</f>
        <v>23.999722222222225</v>
      </c>
      <c r="S753" s="377">
        <f>(Table6[[#This Row],[Fault Clearance time]]-Table6[[#This Row],[Work Start TimeStamp]])*24</f>
        <v>0</v>
      </c>
      <c r="T753" s="380">
        <f>(Table6[[#This Row],[Fault Clearance time]]-Table6[[#This Row],[Fault Start TimeStamp]])*24</f>
        <v>23.999722222222225</v>
      </c>
      <c r="U753" s="364" t="s">
        <v>498</v>
      </c>
      <c r="V753" s="364" t="s">
        <v>473</v>
      </c>
      <c r="W753" s="355">
        <f>Table6[[#This Row],[Breakdown Time]]*(1/39)</f>
        <v>0.61537749287749288</v>
      </c>
      <c r="X753" s="353" t="s">
        <v>468</v>
      </c>
      <c r="Y753" s="364" t="s">
        <v>141</v>
      </c>
      <c r="Z753" s="121">
        <v>14454</v>
      </c>
      <c r="AA753" s="123">
        <v>14453.832708333335</v>
      </c>
      <c r="AB753" s="121" t="s">
        <v>478</v>
      </c>
    </row>
    <row r="754" spans="1:28">
      <c r="A754" s="121">
        <f t="shared" si="11"/>
        <v>753</v>
      </c>
      <c r="B754" s="379">
        <f>YEAR(Table6[[#This Row],[Date]])+IF(MONTH(Table6[[#This Row],[Date]])&gt;=4,1,0)</f>
        <v>2026</v>
      </c>
      <c r="C754" s="39">
        <f>YEAR(Table6[[#This Row],[Date]])</f>
        <v>2025</v>
      </c>
      <c r="D754" s="39" t="s">
        <v>490</v>
      </c>
      <c r="E754" s="135">
        <f>Table6[[#This Row],[Date]]-DAY(Table6[[#This Row],[Date]])+1</f>
        <v>45809</v>
      </c>
      <c r="F754" s="134">
        <v>45819</v>
      </c>
      <c r="G754" s="121" t="s">
        <v>142</v>
      </c>
      <c r="H754" s="39" t="str">
        <f>_xlfn.XLOOKUP(Table6[[#This Row],[Affected WTG]],'Basic Data'!$A:$A,'Basic Data'!$B:$B)</f>
        <v>PWEGPL</v>
      </c>
      <c r="I754" s="39" t="str">
        <f>_xlfn.XLOOKUP(Table6[[#This Row],[Affected WTG]],'Basic Data'!$A:$A,'Basic Data'!$C:$C)</f>
        <v>MSEDCL</v>
      </c>
      <c r="J754" s="363">
        <f>IFERROR(VLOOKUP(Table6[[#This Row],[Affected WTG]],'Basic Data'!$A$3:$E$56,5,0),"")</f>
        <v>2.564102564102564E-2</v>
      </c>
      <c r="K754" s="121" t="s">
        <v>492</v>
      </c>
      <c r="L754" s="39" t="str">
        <f>IFERROR(VLOOKUP(Table6[[#This Row],[Error Code]],'Basic Data'!$T:$U,2,0),"")</f>
        <v>Manual Stop - Safety Related</v>
      </c>
      <c r="M754" s="364" t="s">
        <v>481</v>
      </c>
      <c r="O754" s="346">
        <v>0</v>
      </c>
      <c r="P754" s="346">
        <v>0.99998842592592596</v>
      </c>
      <c r="Q754" s="346">
        <v>0.99998842592592596</v>
      </c>
      <c r="R754" s="366">
        <f>IF(Table6[[#This Row],[Work Start TimeStamp]]="","",(Table6[[#This Row],[Work Start TimeStamp]]-Table6[[#This Row],[Fault Start TimeStamp]])*24)</f>
        <v>23.999722222222225</v>
      </c>
      <c r="S754" s="377">
        <f>(Table6[[#This Row],[Fault Clearance time]]-Table6[[#This Row],[Work Start TimeStamp]])*24</f>
        <v>0</v>
      </c>
      <c r="T754" s="380">
        <f>(Table6[[#This Row],[Fault Clearance time]]-Table6[[#This Row],[Fault Start TimeStamp]])*24</f>
        <v>23.999722222222225</v>
      </c>
      <c r="U754" s="364" t="s">
        <v>498</v>
      </c>
      <c r="V754" s="364" t="s">
        <v>473</v>
      </c>
      <c r="W754" s="355">
        <f>Table6[[#This Row],[Breakdown Time]]*(1/39)</f>
        <v>0.61537749287749288</v>
      </c>
      <c r="X754" s="353" t="s">
        <v>468</v>
      </c>
      <c r="Y754" s="364" t="s">
        <v>141</v>
      </c>
      <c r="Z754" s="121">
        <v>14454</v>
      </c>
      <c r="AA754" s="123">
        <v>14453.832708333335</v>
      </c>
      <c r="AB754" s="121" t="s">
        <v>478</v>
      </c>
    </row>
    <row r="755" spans="1:28">
      <c r="A755" s="121">
        <f t="shared" si="11"/>
        <v>754</v>
      </c>
      <c r="B755" s="379">
        <f>YEAR(Table6[[#This Row],[Date]])+IF(MONTH(Table6[[#This Row],[Date]])&gt;=4,1,0)</f>
        <v>2026</v>
      </c>
      <c r="C755" s="39">
        <f>YEAR(Table6[[#This Row],[Date]])</f>
        <v>2025</v>
      </c>
      <c r="D755" s="39" t="s">
        <v>490</v>
      </c>
      <c r="E755" s="135">
        <f>Table6[[#This Row],[Date]]-DAY(Table6[[#This Row],[Date]])+1</f>
        <v>45809</v>
      </c>
      <c r="F755" s="134">
        <v>45819</v>
      </c>
      <c r="G755" s="121" t="s">
        <v>116</v>
      </c>
      <c r="H755" s="39" t="str">
        <f>_xlfn.XLOOKUP(Table6[[#This Row],[Affected WTG]],'Basic Data'!$A:$A,'Basic Data'!$B:$B)</f>
        <v>PWEGPL</v>
      </c>
      <c r="I755" s="39" t="str">
        <f>_xlfn.XLOOKUP(Table6[[#This Row],[Affected WTG]],'Basic Data'!$A:$A,'Basic Data'!$C:$C)</f>
        <v>MSEDCL</v>
      </c>
      <c r="J755" s="363">
        <f>IFERROR(VLOOKUP(Table6[[#This Row],[Affected WTG]],'Basic Data'!$A$3:$E$56,5,0),"")</f>
        <v>2.564102564102564E-2</v>
      </c>
      <c r="K755" s="121">
        <v>2100</v>
      </c>
      <c r="L755" s="39" t="str">
        <f>IFERROR(VLOOKUP(Table6[[#This Row],[Error Code]],'Basic Data'!$T:$U,2,0),"")</f>
        <v>PLC Voltage Recovery</v>
      </c>
      <c r="M755" s="364" t="s">
        <v>462</v>
      </c>
      <c r="O755" s="346">
        <v>0.69791666666666663</v>
      </c>
      <c r="P755" s="346">
        <v>0.7270833333333333</v>
      </c>
      <c r="Q755" s="346">
        <v>0.72777777777777775</v>
      </c>
      <c r="R755" s="366">
        <f>IF(Table6[[#This Row],[Work Start TimeStamp]]="","",(Table6[[#This Row],[Work Start TimeStamp]]-Table6[[#This Row],[Fault Start TimeStamp]])*24)</f>
        <v>0.70000000000000018</v>
      </c>
      <c r="S755" s="377">
        <f>(Table6[[#This Row],[Fault Clearance time]]-Table6[[#This Row],[Work Start TimeStamp]])*24</f>
        <v>1.6666666666666607E-2</v>
      </c>
      <c r="T755" s="380">
        <f>(Table6[[#This Row],[Fault Clearance time]]-Table6[[#This Row],[Fault Start TimeStamp]])*24</f>
        <v>0.71666666666666679</v>
      </c>
      <c r="U755" s="364" t="s">
        <v>493</v>
      </c>
      <c r="V755" s="364" t="s">
        <v>463</v>
      </c>
      <c r="W755" s="355">
        <f>Table6[[#This Row],[Breakdown Time]]*(1/39)</f>
        <v>1.837606837606838E-2</v>
      </c>
      <c r="X755" s="353" t="s">
        <v>465</v>
      </c>
      <c r="Y755" s="364" t="s">
        <v>117</v>
      </c>
      <c r="Z755" s="121">
        <v>17919</v>
      </c>
      <c r="AA755" s="123">
        <v>535.08125000000007</v>
      </c>
      <c r="AB755" s="121" t="s">
        <v>478</v>
      </c>
    </row>
    <row r="756" spans="1:28">
      <c r="A756" s="121">
        <f t="shared" si="11"/>
        <v>755</v>
      </c>
      <c r="B756" s="379">
        <f>YEAR(Table6[[#This Row],[Date]])+IF(MONTH(Table6[[#This Row],[Date]])&gt;=4,1,0)</f>
        <v>2026</v>
      </c>
      <c r="C756" s="39">
        <f>YEAR(Table6[[#This Row],[Date]])</f>
        <v>2025</v>
      </c>
      <c r="D756" s="39" t="s">
        <v>490</v>
      </c>
      <c r="E756" s="135">
        <f>Table6[[#This Row],[Date]]-DAY(Table6[[#This Row],[Date]])+1</f>
        <v>45809</v>
      </c>
      <c r="F756" s="134">
        <v>45819</v>
      </c>
      <c r="G756" s="121" t="s">
        <v>117</v>
      </c>
      <c r="H756" s="39" t="str">
        <f>_xlfn.XLOOKUP(Table6[[#This Row],[Affected WTG]],'Basic Data'!$A:$A,'Basic Data'!$B:$B)</f>
        <v>PWEGPL</v>
      </c>
      <c r="I756" s="39" t="str">
        <f>_xlfn.XLOOKUP(Table6[[#This Row],[Affected WTG]],'Basic Data'!$A:$A,'Basic Data'!$C:$C)</f>
        <v>MSEDCL</v>
      </c>
      <c r="J756" s="363">
        <f>IFERROR(VLOOKUP(Table6[[#This Row],[Affected WTG]],'Basic Data'!$A$3:$E$56,5,0),"")</f>
        <v>2.564102564102564E-2</v>
      </c>
      <c r="K756" s="121">
        <v>2100</v>
      </c>
      <c r="L756" s="39" t="str">
        <f>IFERROR(VLOOKUP(Table6[[#This Row],[Error Code]],'Basic Data'!$T:$U,2,0),"")</f>
        <v>PLC Voltage Recovery</v>
      </c>
      <c r="M756" s="364" t="s">
        <v>462</v>
      </c>
      <c r="O756" s="346">
        <v>0.69791666666666663</v>
      </c>
      <c r="P756" s="346">
        <v>0.71319444444444446</v>
      </c>
      <c r="Q756" s="346">
        <v>0.71388888888888891</v>
      </c>
      <c r="R756" s="366">
        <f>IF(Table6[[#This Row],[Work Start TimeStamp]]="","",(Table6[[#This Row],[Work Start TimeStamp]]-Table6[[#This Row],[Fault Start TimeStamp]])*24)</f>
        <v>0.36666666666666803</v>
      </c>
      <c r="S756" s="377">
        <f>(Table6[[#This Row],[Fault Clearance time]]-Table6[[#This Row],[Work Start TimeStamp]])*24</f>
        <v>1.6666666666666607E-2</v>
      </c>
      <c r="T756" s="380">
        <f>(Table6[[#This Row],[Fault Clearance time]]-Table6[[#This Row],[Fault Start TimeStamp]])*24</f>
        <v>0.38333333333333464</v>
      </c>
      <c r="U756" s="364" t="s">
        <v>493</v>
      </c>
      <c r="V756" s="364" t="s">
        <v>463</v>
      </c>
      <c r="W756" s="355">
        <f>Table6[[#This Row],[Breakdown Time]]*(1/39)</f>
        <v>9.8290598290598618E-3</v>
      </c>
      <c r="X756" s="353" t="s">
        <v>465</v>
      </c>
      <c r="Y756" s="364" t="s">
        <v>118</v>
      </c>
      <c r="Z756" s="121">
        <v>17913</v>
      </c>
      <c r="AA756" s="123">
        <v>286.11041666666762</v>
      </c>
      <c r="AB756" s="121" t="s">
        <v>478</v>
      </c>
    </row>
    <row r="757" spans="1:28">
      <c r="A757" s="121">
        <f t="shared" si="11"/>
        <v>756</v>
      </c>
      <c r="B757" s="379">
        <f>YEAR(Table6[[#This Row],[Date]])+IF(MONTH(Table6[[#This Row],[Date]])&gt;=4,1,0)</f>
        <v>2026</v>
      </c>
      <c r="C757" s="39">
        <f>YEAR(Table6[[#This Row],[Date]])</f>
        <v>2025</v>
      </c>
      <c r="D757" s="39" t="s">
        <v>490</v>
      </c>
      <c r="E757" s="135">
        <f>Table6[[#This Row],[Date]]-DAY(Table6[[#This Row],[Date]])+1</f>
        <v>45809</v>
      </c>
      <c r="F757" s="134">
        <v>45819</v>
      </c>
      <c r="G757" s="121" t="s">
        <v>118</v>
      </c>
      <c r="H757" s="39" t="str">
        <f>_xlfn.XLOOKUP(Table6[[#This Row],[Affected WTG]],'Basic Data'!$A:$A,'Basic Data'!$B:$B)</f>
        <v>PWEGPL</v>
      </c>
      <c r="I757" s="39" t="str">
        <f>_xlfn.XLOOKUP(Table6[[#This Row],[Affected WTG]],'Basic Data'!$A:$A,'Basic Data'!$C:$C)</f>
        <v>MSEDCL</v>
      </c>
      <c r="J757" s="363">
        <f>IFERROR(VLOOKUP(Table6[[#This Row],[Affected WTG]],'Basic Data'!$A$3:$E$56,5,0),"")</f>
        <v>2.564102564102564E-2</v>
      </c>
      <c r="K757" s="121">
        <v>2100</v>
      </c>
      <c r="L757" s="39" t="str">
        <f>IFERROR(VLOOKUP(Table6[[#This Row],[Error Code]],'Basic Data'!$T:$U,2,0),"")</f>
        <v>PLC Voltage Recovery</v>
      </c>
      <c r="M757" s="364" t="s">
        <v>462</v>
      </c>
      <c r="O757" s="346">
        <v>0.69791666666666663</v>
      </c>
      <c r="P757" s="346">
        <v>0.71805555555555556</v>
      </c>
      <c r="Q757" s="346">
        <v>0.71875</v>
      </c>
      <c r="R757" s="366">
        <f>IF(Table6[[#This Row],[Work Start TimeStamp]]="","",(Table6[[#This Row],[Work Start TimeStamp]]-Table6[[#This Row],[Fault Start TimeStamp]])*24)</f>
        <v>0.48333333333333428</v>
      </c>
      <c r="S757" s="377">
        <f>(Table6[[#This Row],[Fault Clearance time]]-Table6[[#This Row],[Work Start TimeStamp]])*24</f>
        <v>1.6666666666666607E-2</v>
      </c>
      <c r="T757" s="380">
        <f>(Table6[[#This Row],[Fault Clearance time]]-Table6[[#This Row],[Fault Start TimeStamp]])*24</f>
        <v>0.50000000000000089</v>
      </c>
      <c r="U757" s="364" t="s">
        <v>493</v>
      </c>
      <c r="V757" s="364" t="s">
        <v>463</v>
      </c>
      <c r="W757" s="355">
        <f>Table6[[#This Row],[Breakdown Time]]*(1/39)</f>
        <v>1.2820512820512843E-2</v>
      </c>
      <c r="X757" s="353" t="s">
        <v>465</v>
      </c>
      <c r="Y757" s="364" t="s">
        <v>117</v>
      </c>
      <c r="Z757" s="121">
        <v>17919</v>
      </c>
      <c r="AA757" s="123">
        <v>373.31250000000068</v>
      </c>
      <c r="AB757" s="121" t="s">
        <v>478</v>
      </c>
    </row>
    <row r="758" spans="1:28">
      <c r="A758" s="121">
        <f t="shared" si="11"/>
        <v>757</v>
      </c>
      <c r="B758" s="379">
        <f>YEAR(Table6[[#This Row],[Date]])+IF(MONTH(Table6[[#This Row],[Date]])&gt;=4,1,0)</f>
        <v>2026</v>
      </c>
      <c r="C758" s="39">
        <f>YEAR(Table6[[#This Row],[Date]])</f>
        <v>2025</v>
      </c>
      <c r="D758" s="39" t="s">
        <v>490</v>
      </c>
      <c r="E758" s="135">
        <f>Table6[[#This Row],[Date]]-DAY(Table6[[#This Row],[Date]])+1</f>
        <v>45809</v>
      </c>
      <c r="F758" s="134">
        <v>45819</v>
      </c>
      <c r="G758" s="121" t="s">
        <v>120</v>
      </c>
      <c r="H758" s="39" t="str">
        <f>_xlfn.XLOOKUP(Table6[[#This Row],[Affected WTG]],'Basic Data'!$A:$A,'Basic Data'!$B:$B)</f>
        <v>PWEGPL</v>
      </c>
      <c r="I758" s="39" t="str">
        <f>_xlfn.XLOOKUP(Table6[[#This Row],[Affected WTG]],'Basic Data'!$A:$A,'Basic Data'!$C:$C)</f>
        <v>MSEDCL</v>
      </c>
      <c r="J758" s="363">
        <f>IFERROR(VLOOKUP(Table6[[#This Row],[Affected WTG]],'Basic Data'!$A$3:$E$56,5,0),"")</f>
        <v>2.564102564102564E-2</v>
      </c>
      <c r="K758" s="121">
        <v>2100</v>
      </c>
      <c r="L758" s="39" t="str">
        <f>IFERROR(VLOOKUP(Table6[[#This Row],[Error Code]],'Basic Data'!$T:$U,2,0),"")</f>
        <v>PLC Voltage Recovery</v>
      </c>
      <c r="M758" s="364" t="s">
        <v>462</v>
      </c>
      <c r="O758" s="346">
        <v>0.69791666666666663</v>
      </c>
      <c r="P758" s="346">
        <v>0.70902777777777781</v>
      </c>
      <c r="Q758" s="346">
        <v>0.70972222222222225</v>
      </c>
      <c r="R758" s="366">
        <f>IF(Table6[[#This Row],[Work Start TimeStamp]]="","",(Table6[[#This Row],[Work Start TimeStamp]]-Table6[[#This Row],[Fault Start TimeStamp]])*24)</f>
        <v>0.26666666666666838</v>
      </c>
      <c r="S758" s="377">
        <f>(Table6[[#This Row],[Fault Clearance time]]-Table6[[#This Row],[Work Start TimeStamp]])*24</f>
        <v>1.6666666666666607E-2</v>
      </c>
      <c r="T758" s="380">
        <f>(Table6[[#This Row],[Fault Clearance time]]-Table6[[#This Row],[Fault Start TimeStamp]])*24</f>
        <v>0.28333333333333499</v>
      </c>
      <c r="U758" s="364" t="s">
        <v>493</v>
      </c>
      <c r="V758" s="364" t="s">
        <v>463</v>
      </c>
      <c r="W758" s="355">
        <f>Table6[[#This Row],[Breakdown Time]]*(1/39)</f>
        <v>7.2649572649573068E-3</v>
      </c>
      <c r="X758" s="353" t="s">
        <v>465</v>
      </c>
      <c r="Y758" s="364" t="s">
        <v>117</v>
      </c>
      <c r="Z758" s="121">
        <v>17919</v>
      </c>
      <c r="AA758" s="123">
        <v>211.54375000000124</v>
      </c>
      <c r="AB758" s="121" t="s">
        <v>478</v>
      </c>
    </row>
    <row r="759" spans="1:28">
      <c r="A759" s="121">
        <f t="shared" si="11"/>
        <v>758</v>
      </c>
      <c r="B759" s="379">
        <f>YEAR(Table6[[#This Row],[Date]])+IF(MONTH(Table6[[#This Row],[Date]])&gt;=4,1,0)</f>
        <v>2026</v>
      </c>
      <c r="C759" s="39">
        <f>YEAR(Table6[[#This Row],[Date]])</f>
        <v>2025</v>
      </c>
      <c r="D759" s="39" t="s">
        <v>490</v>
      </c>
      <c r="E759" s="135">
        <f>Table6[[#This Row],[Date]]-DAY(Table6[[#This Row],[Date]])+1</f>
        <v>45809</v>
      </c>
      <c r="F759" s="134">
        <v>45819</v>
      </c>
      <c r="G759" s="121" t="s">
        <v>121</v>
      </c>
      <c r="H759" s="39" t="str">
        <f>_xlfn.XLOOKUP(Table6[[#This Row],[Affected WTG]],'Basic Data'!$A:$A,'Basic Data'!$B:$B)</f>
        <v>PWEGPL</v>
      </c>
      <c r="I759" s="39" t="str">
        <f>_xlfn.XLOOKUP(Table6[[#This Row],[Affected WTG]],'Basic Data'!$A:$A,'Basic Data'!$C:$C)</f>
        <v>MSEDCL</v>
      </c>
      <c r="J759" s="363">
        <f>IFERROR(VLOOKUP(Table6[[#This Row],[Affected WTG]],'Basic Data'!$A$3:$E$56,5,0),"")</f>
        <v>2.564102564102564E-2</v>
      </c>
      <c r="K759" s="121" t="s">
        <v>476</v>
      </c>
      <c r="L759" s="39" t="str">
        <f>IFERROR(VLOOKUP(Table6[[#This Row],[Error Code]],'Basic Data'!$T:$U,2,0),"")</f>
        <v>Manual Stop - Preventive Maintenance Activity</v>
      </c>
      <c r="M759" s="364" t="s">
        <v>474</v>
      </c>
      <c r="O759" s="346">
        <v>0.44722222222222224</v>
      </c>
      <c r="P759" s="346">
        <v>0.44722222222222224</v>
      </c>
      <c r="Q759" s="346">
        <v>0.78125</v>
      </c>
      <c r="R759" s="366">
        <f>IF(Table6[[#This Row],[Work Start TimeStamp]]="","",(Table6[[#This Row],[Work Start TimeStamp]]-Table6[[#This Row],[Fault Start TimeStamp]])*24)</f>
        <v>0</v>
      </c>
      <c r="S759" s="367">
        <f>(Table6[[#This Row],[Fault Clearance time]]-Table6[[#This Row],[Work Start TimeStamp]])*24</f>
        <v>8.0166666666666657</v>
      </c>
      <c r="T759" s="368">
        <f>(Table6[[#This Row],[Fault Clearance time]]-Table6[[#This Row],[Fault Start TimeStamp]])*24</f>
        <v>8.0166666666666657</v>
      </c>
      <c r="U759" s="364" t="s">
        <v>582</v>
      </c>
      <c r="V759" s="364" t="s">
        <v>463</v>
      </c>
      <c r="W759" s="355">
        <f>Table6[[#This Row],[Breakdown Time]]*(1/39)</f>
        <v>0.20555555555555552</v>
      </c>
      <c r="X759" s="353" t="s">
        <v>467</v>
      </c>
      <c r="Y759" s="364" t="s">
        <v>115</v>
      </c>
      <c r="Z759" s="121">
        <v>17911</v>
      </c>
      <c r="AA759" s="123">
        <v>5982.771527777777</v>
      </c>
      <c r="AB759" s="121" t="s">
        <v>478</v>
      </c>
    </row>
    <row r="760" spans="1:28">
      <c r="A760" s="121">
        <f t="shared" si="11"/>
        <v>759</v>
      </c>
      <c r="B760" s="379">
        <f>YEAR(Table6[[#This Row],[Date]])+IF(MONTH(Table6[[#This Row],[Date]])&gt;=4,1,0)</f>
        <v>2026</v>
      </c>
      <c r="C760" s="39">
        <f>YEAR(Table6[[#This Row],[Date]])</f>
        <v>2025</v>
      </c>
      <c r="D760" s="39" t="s">
        <v>490</v>
      </c>
      <c r="E760" s="135">
        <f>Table6[[#This Row],[Date]]-DAY(Table6[[#This Row],[Date]])+1</f>
        <v>45809</v>
      </c>
      <c r="F760" s="134">
        <v>45819</v>
      </c>
      <c r="G760" s="121" t="s">
        <v>124</v>
      </c>
      <c r="H760" s="39" t="str">
        <f>_xlfn.XLOOKUP(Table6[[#This Row],[Affected WTG]],'Basic Data'!$A:$A,'Basic Data'!$B:$B)</f>
        <v>PWEGPL</v>
      </c>
      <c r="I760" s="39" t="str">
        <f>_xlfn.XLOOKUP(Table6[[#This Row],[Affected WTG]],'Basic Data'!$A:$A,'Basic Data'!$C:$C)</f>
        <v>MSEDCL</v>
      </c>
      <c r="J760" s="363">
        <f>IFERROR(VLOOKUP(Table6[[#This Row],[Affected WTG]],'Basic Data'!$A$3:$E$56,5,0),"")</f>
        <v>2.564102564102564E-2</v>
      </c>
      <c r="K760" s="121">
        <v>2100</v>
      </c>
      <c r="L760" s="39" t="str">
        <f>IFERROR(VLOOKUP(Table6[[#This Row],[Error Code]],'Basic Data'!$T:$U,2,0),"")</f>
        <v>PLC Voltage Recovery</v>
      </c>
      <c r="M760" s="364" t="s">
        <v>462</v>
      </c>
      <c r="O760" s="346">
        <v>0.69791666666666663</v>
      </c>
      <c r="P760" s="346">
        <v>0.75694444444444442</v>
      </c>
      <c r="Q760" s="346">
        <v>0.75763888888888886</v>
      </c>
      <c r="R760" s="366">
        <f>IF(Table6[[#This Row],[Work Start TimeStamp]]="","",(Table6[[#This Row],[Work Start TimeStamp]]-Table6[[#This Row],[Fault Start TimeStamp]])*24)</f>
        <v>1.416666666666667</v>
      </c>
      <c r="S760" s="377">
        <f>(Table6[[#This Row],[Fault Clearance time]]-Table6[[#This Row],[Work Start TimeStamp]])*24</f>
        <v>1.6666666666666607E-2</v>
      </c>
      <c r="T760" s="380">
        <f>(Table6[[#This Row],[Fault Clearance time]]-Table6[[#This Row],[Fault Start TimeStamp]])*24</f>
        <v>1.4333333333333336</v>
      </c>
      <c r="U760" s="364" t="s">
        <v>493</v>
      </c>
      <c r="V760" s="364" t="s">
        <v>463</v>
      </c>
      <c r="W760" s="355">
        <f>Table6[[#This Row],[Breakdown Time]]*(1/39)</f>
        <v>3.675213675213676E-2</v>
      </c>
      <c r="X760" s="353" t="s">
        <v>465</v>
      </c>
      <c r="Y760" s="364" t="s">
        <v>125</v>
      </c>
      <c r="Z760" s="121">
        <v>17938</v>
      </c>
      <c r="AA760" s="123">
        <v>1071.2972222222224</v>
      </c>
      <c r="AB760" s="121" t="s">
        <v>478</v>
      </c>
    </row>
    <row r="761" spans="1:28">
      <c r="A761" s="121">
        <f t="shared" si="11"/>
        <v>760</v>
      </c>
      <c r="B761" s="379">
        <f>YEAR(Table6[[#This Row],[Date]])+IF(MONTH(Table6[[#This Row],[Date]])&gt;=4,1,0)</f>
        <v>2026</v>
      </c>
      <c r="C761" s="39">
        <f>YEAR(Table6[[#This Row],[Date]])</f>
        <v>2025</v>
      </c>
      <c r="D761" s="39" t="s">
        <v>490</v>
      </c>
      <c r="E761" s="135">
        <f>Table6[[#This Row],[Date]]-DAY(Table6[[#This Row],[Date]])+1</f>
        <v>45809</v>
      </c>
      <c r="F761" s="134">
        <v>45819</v>
      </c>
      <c r="G761" s="121" t="s">
        <v>130</v>
      </c>
      <c r="H761" s="39" t="str">
        <f>_xlfn.XLOOKUP(Table6[[#This Row],[Affected WTG]],'Basic Data'!$A:$A,'Basic Data'!$B:$B)</f>
        <v>PWEGPL</v>
      </c>
      <c r="I761" s="39" t="str">
        <f>_xlfn.XLOOKUP(Table6[[#This Row],[Affected WTG]],'Basic Data'!$A:$A,'Basic Data'!$C:$C)</f>
        <v>MSEDCL</v>
      </c>
      <c r="J761" s="363">
        <f>IFERROR(VLOOKUP(Table6[[#This Row],[Affected WTG]],'Basic Data'!$A$3:$E$56,5,0),"")</f>
        <v>2.564102564102564E-2</v>
      </c>
      <c r="K761" s="121">
        <v>116</v>
      </c>
      <c r="L761" s="39" t="str">
        <f>IFERROR(VLOOKUP(Table6[[#This Row],[Error Code]],'Basic Data'!$T:$U,2,0),"")</f>
        <v>Orienting and High Yaw Brake Pressure</v>
      </c>
      <c r="M761" s="364" t="s">
        <v>462</v>
      </c>
      <c r="O761" s="346">
        <v>0.6875</v>
      </c>
      <c r="P761" s="346">
        <v>0.71875</v>
      </c>
      <c r="Q761" s="346">
        <v>0.71944444444444444</v>
      </c>
      <c r="R761" s="366">
        <f>IF(Table6[[#This Row],[Work Start TimeStamp]]="","",(Table6[[#This Row],[Work Start TimeStamp]]-Table6[[#This Row],[Fault Start TimeStamp]])*24)</f>
        <v>0.75</v>
      </c>
      <c r="S761" s="377">
        <f>(Table6[[#This Row],[Fault Clearance time]]-Table6[[#This Row],[Work Start TimeStamp]])*24</f>
        <v>1.6666666666666607E-2</v>
      </c>
      <c r="T761" s="380">
        <f>(Table6[[#This Row],[Fault Clearance time]]-Table6[[#This Row],[Fault Start TimeStamp]])*24</f>
        <v>0.76666666666666661</v>
      </c>
      <c r="U761" s="364" t="s">
        <v>493</v>
      </c>
      <c r="V761" s="364" t="s">
        <v>463</v>
      </c>
      <c r="W761" s="355">
        <f>Table6[[#This Row],[Breakdown Time]]*(1/39)</f>
        <v>1.9658119658119654E-2</v>
      </c>
      <c r="X761" s="353" t="s">
        <v>465</v>
      </c>
      <c r="Y761" s="364" t="s">
        <v>131</v>
      </c>
      <c r="Z761" s="121">
        <v>9539</v>
      </c>
      <c r="AA761" s="123">
        <v>304.71805555555551</v>
      </c>
      <c r="AB761" s="121" t="s">
        <v>478</v>
      </c>
    </row>
    <row r="762" spans="1:28">
      <c r="A762" s="121">
        <f t="shared" si="11"/>
        <v>761</v>
      </c>
      <c r="B762" s="379">
        <f>YEAR(Table6[[#This Row],[Date]])+IF(MONTH(Table6[[#This Row],[Date]])&gt;=4,1,0)</f>
        <v>2026</v>
      </c>
      <c r="C762" s="39">
        <f>YEAR(Table6[[#This Row],[Date]])</f>
        <v>2025</v>
      </c>
      <c r="D762" s="39" t="s">
        <v>490</v>
      </c>
      <c r="E762" s="135">
        <f>Table6[[#This Row],[Date]]-DAY(Table6[[#This Row],[Date]])+1</f>
        <v>45809</v>
      </c>
      <c r="F762" s="134">
        <v>45819</v>
      </c>
      <c r="G762" s="121" t="s">
        <v>145</v>
      </c>
      <c r="H762" s="39" t="str">
        <f>_xlfn.XLOOKUP(Table6[[#This Row],[Affected WTG]],'Basic Data'!$A:$A,'Basic Data'!$B:$B)</f>
        <v>PWEGPL</v>
      </c>
      <c r="I762" s="39" t="str">
        <f>_xlfn.XLOOKUP(Table6[[#This Row],[Affected WTG]],'Basic Data'!$A:$A,'Basic Data'!$C:$C)</f>
        <v>MSEDCL</v>
      </c>
      <c r="J762" s="363">
        <f>IFERROR(VLOOKUP(Table6[[#This Row],[Affected WTG]],'Basic Data'!$A$3:$E$56,5,0),"")</f>
        <v>2.564102564102564E-2</v>
      </c>
      <c r="K762" s="121">
        <v>2118</v>
      </c>
      <c r="L762" s="39" t="str">
        <f>IFERROR(VLOOKUP(Table6[[#This Row],[Error Code]],'Basic Data'!$T:$U,2,0),"")</f>
        <v>Bus Error - Interbus Failure</v>
      </c>
      <c r="M762" s="364" t="s">
        <v>462</v>
      </c>
      <c r="O762" s="346">
        <v>0.71527777777777779</v>
      </c>
      <c r="P762" s="346">
        <v>0.74930555555555556</v>
      </c>
      <c r="Q762" s="346">
        <v>0.75138888888888888</v>
      </c>
      <c r="R762" s="366">
        <f>IF(Table6[[#This Row],[Work Start TimeStamp]]="","",(Table6[[#This Row],[Work Start TimeStamp]]-Table6[[#This Row],[Fault Start TimeStamp]])*24)</f>
        <v>0.81666666666666643</v>
      </c>
      <c r="S762" s="377">
        <f>(Table6[[#This Row],[Fault Clearance time]]-Table6[[#This Row],[Work Start TimeStamp]])*24</f>
        <v>4.9999999999999822E-2</v>
      </c>
      <c r="T762" s="380">
        <f>(Table6[[#This Row],[Fault Clearance time]]-Table6[[#This Row],[Fault Start TimeStamp]])*24</f>
        <v>0.86666666666666625</v>
      </c>
      <c r="U762" s="364" t="s">
        <v>491</v>
      </c>
      <c r="V762" s="364" t="s">
        <v>463</v>
      </c>
      <c r="W762" s="355">
        <f>Table6[[#This Row],[Breakdown Time]]*(1/39)</f>
        <v>2.2222222222222209E-2</v>
      </c>
      <c r="X762" s="353" t="s">
        <v>465</v>
      </c>
      <c r="Y762" s="364" t="s">
        <v>139</v>
      </c>
      <c r="Z762" s="121">
        <v>12111</v>
      </c>
      <c r="AA762" s="123">
        <v>437.34166666666647</v>
      </c>
      <c r="AB762" s="121" t="s">
        <v>478</v>
      </c>
    </row>
    <row r="763" spans="1:28">
      <c r="A763" s="121">
        <f t="shared" si="11"/>
        <v>762</v>
      </c>
      <c r="B763" s="379">
        <f>YEAR(Table6[[#This Row],[Date]])+IF(MONTH(Table6[[#This Row],[Date]])&gt;=4,1,0)</f>
        <v>2026</v>
      </c>
      <c r="C763" s="39">
        <f>YEAR(Table6[[#This Row],[Date]])</f>
        <v>2025</v>
      </c>
      <c r="D763" s="39" t="s">
        <v>490</v>
      </c>
      <c r="E763" s="135">
        <f>Table6[[#This Row],[Date]]-DAY(Table6[[#This Row],[Date]])+1</f>
        <v>45809</v>
      </c>
      <c r="F763" s="134">
        <v>45820</v>
      </c>
      <c r="G763" s="121" t="s">
        <v>144</v>
      </c>
      <c r="H763" s="39" t="str">
        <f>_xlfn.XLOOKUP(Table6[[#This Row],[Affected WTG]],'Basic Data'!$A:$A,'Basic Data'!$B:$B)</f>
        <v>PWEGPL</v>
      </c>
      <c r="I763" s="39" t="str">
        <f>_xlfn.XLOOKUP(Table6[[#This Row],[Affected WTG]],'Basic Data'!$A:$A,'Basic Data'!$C:$C)</f>
        <v>MSEDCL</v>
      </c>
      <c r="J763" s="363">
        <f>IFERROR(VLOOKUP(Table6[[#This Row],[Affected WTG]],'Basic Data'!$A$3:$E$56,5,0),"")</f>
        <v>2.564102564102564E-2</v>
      </c>
      <c r="K763" s="121" t="s">
        <v>492</v>
      </c>
      <c r="L763" s="39" t="str">
        <f>IFERROR(VLOOKUP(Table6[[#This Row],[Error Code]],'Basic Data'!$T:$U,2,0),"")</f>
        <v>Manual Stop - Safety Related</v>
      </c>
      <c r="M763" s="364" t="s">
        <v>481</v>
      </c>
      <c r="O763" s="346">
        <v>0</v>
      </c>
      <c r="P763" s="346">
        <v>0.99998842592592596</v>
      </c>
      <c r="Q763" s="346">
        <v>0.99998842592592596</v>
      </c>
      <c r="R763" s="366">
        <f>IF(Table6[[#This Row],[Work Start TimeStamp]]="","",(Table6[[#This Row],[Work Start TimeStamp]]-Table6[[#This Row],[Fault Start TimeStamp]])*24)</f>
        <v>23.999722222222225</v>
      </c>
      <c r="S763" s="377">
        <f>(Table6[[#This Row],[Fault Clearance time]]-Table6[[#This Row],[Work Start TimeStamp]])*24</f>
        <v>0</v>
      </c>
      <c r="T763" s="380">
        <f>(Table6[[#This Row],[Fault Clearance time]]-Table6[[#This Row],[Fault Start TimeStamp]])*24</f>
        <v>23.999722222222225</v>
      </c>
      <c r="U763" s="364" t="s">
        <v>498</v>
      </c>
      <c r="V763" s="364" t="s">
        <v>473</v>
      </c>
      <c r="W763" s="355">
        <f>Table6[[#This Row],[Breakdown Time]]*(1/39)</f>
        <v>0.61537749287749288</v>
      </c>
      <c r="X763" s="353" t="s">
        <v>468</v>
      </c>
      <c r="Y763" s="364" t="s">
        <v>141</v>
      </c>
      <c r="Z763" s="121">
        <v>9862</v>
      </c>
      <c r="AA763" s="123">
        <v>9861.8858564814836</v>
      </c>
      <c r="AB763" s="121" t="s">
        <v>478</v>
      </c>
    </row>
    <row r="764" spans="1:28">
      <c r="A764" s="121">
        <f t="shared" si="11"/>
        <v>763</v>
      </c>
      <c r="B764" s="379">
        <f>YEAR(Table6[[#This Row],[Date]])+IF(MONTH(Table6[[#This Row],[Date]])&gt;=4,1,0)</f>
        <v>2026</v>
      </c>
      <c r="C764" s="39">
        <f>YEAR(Table6[[#This Row],[Date]])</f>
        <v>2025</v>
      </c>
      <c r="D764" s="39" t="s">
        <v>490</v>
      </c>
      <c r="E764" s="135">
        <f>Table6[[#This Row],[Date]]-DAY(Table6[[#This Row],[Date]])+1</f>
        <v>45809</v>
      </c>
      <c r="F764" s="134">
        <v>45820</v>
      </c>
      <c r="G764" s="121" t="s">
        <v>142</v>
      </c>
      <c r="H764" s="39" t="str">
        <f>_xlfn.XLOOKUP(Table6[[#This Row],[Affected WTG]],'Basic Data'!$A:$A,'Basic Data'!$B:$B)</f>
        <v>PWEGPL</v>
      </c>
      <c r="I764" s="39" t="str">
        <f>_xlfn.XLOOKUP(Table6[[#This Row],[Affected WTG]],'Basic Data'!$A:$A,'Basic Data'!$C:$C)</f>
        <v>MSEDCL</v>
      </c>
      <c r="J764" s="363">
        <f>IFERROR(VLOOKUP(Table6[[#This Row],[Affected WTG]],'Basic Data'!$A$3:$E$56,5,0),"")</f>
        <v>2.564102564102564E-2</v>
      </c>
      <c r="K764" s="121" t="s">
        <v>492</v>
      </c>
      <c r="L764" s="39" t="str">
        <f>IFERROR(VLOOKUP(Table6[[#This Row],[Error Code]],'Basic Data'!$T:$U,2,0),"")</f>
        <v>Manual Stop - Safety Related</v>
      </c>
      <c r="M764" s="364" t="s">
        <v>481</v>
      </c>
      <c r="O764" s="346">
        <v>0</v>
      </c>
      <c r="P764" s="346">
        <v>0.99998842592592596</v>
      </c>
      <c r="Q764" s="346">
        <v>0.99998842592592596</v>
      </c>
      <c r="R764" s="366">
        <f>IF(Table6[[#This Row],[Work Start TimeStamp]]="","",(Table6[[#This Row],[Work Start TimeStamp]]-Table6[[#This Row],[Fault Start TimeStamp]])*24)</f>
        <v>23.999722222222225</v>
      </c>
      <c r="S764" s="377">
        <f>(Table6[[#This Row],[Fault Clearance time]]-Table6[[#This Row],[Work Start TimeStamp]])*24</f>
        <v>0</v>
      </c>
      <c r="T764" s="380">
        <f>(Table6[[#This Row],[Fault Clearance time]]-Table6[[#This Row],[Fault Start TimeStamp]])*24</f>
        <v>23.999722222222225</v>
      </c>
      <c r="U764" s="364" t="s">
        <v>498</v>
      </c>
      <c r="V764" s="364" t="s">
        <v>473</v>
      </c>
      <c r="W764" s="355">
        <f>Table6[[#This Row],[Breakdown Time]]*(1/39)</f>
        <v>0.61537749287749288</v>
      </c>
      <c r="X764" s="353" t="s">
        <v>468</v>
      </c>
      <c r="Y764" s="364" t="s">
        <v>141</v>
      </c>
      <c r="Z764" s="121">
        <v>9862</v>
      </c>
      <c r="AA764" s="123">
        <v>9861.8858564814836</v>
      </c>
      <c r="AB764" s="121" t="s">
        <v>478</v>
      </c>
    </row>
    <row r="765" spans="1:28">
      <c r="A765" s="121">
        <f t="shared" si="11"/>
        <v>764</v>
      </c>
      <c r="B765" s="379">
        <f>YEAR(Table6[[#This Row],[Date]])+IF(MONTH(Table6[[#This Row],[Date]])&gt;=4,1,0)</f>
        <v>2026</v>
      </c>
      <c r="C765" s="39">
        <f>YEAR(Table6[[#This Row],[Date]])</f>
        <v>2025</v>
      </c>
      <c r="D765" s="39" t="s">
        <v>490</v>
      </c>
      <c r="E765" s="135">
        <f>Table6[[#This Row],[Date]]-DAY(Table6[[#This Row],[Date]])+1</f>
        <v>45809</v>
      </c>
      <c r="F765" s="134">
        <v>45820</v>
      </c>
      <c r="G765" s="121" t="s">
        <v>115</v>
      </c>
      <c r="H765" s="39" t="str">
        <f>_xlfn.XLOOKUP(Table6[[#This Row],[Affected WTG]],'Basic Data'!$A:$A,'Basic Data'!$B:$B)</f>
        <v>PWEGPL</v>
      </c>
      <c r="I765" s="39" t="str">
        <f>_xlfn.XLOOKUP(Table6[[#This Row],[Affected WTG]],'Basic Data'!$A:$A,'Basic Data'!$C:$C)</f>
        <v>MSEDCL</v>
      </c>
      <c r="J765" s="363">
        <f>IFERROR(VLOOKUP(Table6[[#This Row],[Affected WTG]],'Basic Data'!$A$3:$E$56,5,0),"")</f>
        <v>2.564102564102564E-2</v>
      </c>
      <c r="K765" s="121" t="s">
        <v>476</v>
      </c>
      <c r="L765" s="39" t="str">
        <f>IFERROR(VLOOKUP(Table6[[#This Row],[Error Code]],'Basic Data'!$T:$U,2,0),"")</f>
        <v>Manual Stop - Preventive Maintenance Activity</v>
      </c>
      <c r="M765" s="364" t="s">
        <v>474</v>
      </c>
      <c r="O765" s="346">
        <v>0.45763888888888887</v>
      </c>
      <c r="P765" s="346">
        <v>0.45763888888888887</v>
      </c>
      <c r="Q765" s="346">
        <v>0.76388888888888884</v>
      </c>
      <c r="R765" s="366">
        <f>IF(Table6[[#This Row],[Work Start TimeStamp]]="","",(Table6[[#This Row],[Work Start TimeStamp]]-Table6[[#This Row],[Fault Start TimeStamp]])*24)</f>
        <v>0</v>
      </c>
      <c r="S765" s="367">
        <f>(Table6[[#This Row],[Fault Clearance time]]-Table6[[#This Row],[Work Start TimeStamp]])*24</f>
        <v>7.35</v>
      </c>
      <c r="T765" s="368">
        <f>(Table6[[#This Row],[Fault Clearance time]]-Table6[[#This Row],[Fault Start TimeStamp]])*24</f>
        <v>7.35</v>
      </c>
      <c r="U765" s="364" t="s">
        <v>582</v>
      </c>
      <c r="V765" s="364" t="s">
        <v>463</v>
      </c>
      <c r="W765" s="355">
        <f>Table6[[#This Row],[Breakdown Time]]*(1/39)</f>
        <v>0.18846153846153846</v>
      </c>
      <c r="X765" s="353" t="s">
        <v>467</v>
      </c>
      <c r="Y765" s="364" t="s">
        <v>121</v>
      </c>
      <c r="Z765" s="121">
        <v>14931</v>
      </c>
      <c r="AA765" s="123">
        <v>4572.6187499999996</v>
      </c>
      <c r="AB765" s="121" t="s">
        <v>478</v>
      </c>
    </row>
    <row r="766" spans="1:28">
      <c r="A766" s="121">
        <f t="shared" si="11"/>
        <v>765</v>
      </c>
      <c r="B766" s="379">
        <f>YEAR(Table6[[#This Row],[Date]])+IF(MONTH(Table6[[#This Row],[Date]])&gt;=4,1,0)</f>
        <v>2026</v>
      </c>
      <c r="C766" s="39">
        <f>YEAR(Table6[[#This Row],[Date]])</f>
        <v>2025</v>
      </c>
      <c r="D766" s="39" t="s">
        <v>490</v>
      </c>
      <c r="E766" s="135">
        <f>Table6[[#This Row],[Date]]-DAY(Table6[[#This Row],[Date]])+1</f>
        <v>45809</v>
      </c>
      <c r="F766" s="134">
        <v>45820</v>
      </c>
      <c r="G766" s="121" t="s">
        <v>153</v>
      </c>
      <c r="H766" s="39" t="str">
        <f>_xlfn.XLOOKUP(Table6[[#This Row],[Affected WTG]],'Basic Data'!$A:$A,'Basic Data'!$B:$B)</f>
        <v>PWEGPL</v>
      </c>
      <c r="I766" s="39" t="str">
        <f>_xlfn.XLOOKUP(Table6[[#This Row],[Affected WTG]],'Basic Data'!$A:$A,'Basic Data'!$C:$C)</f>
        <v>MSEDCL</v>
      </c>
      <c r="J766" s="363">
        <f>IFERROR(VLOOKUP(Table6[[#This Row],[Affected WTG]],'Basic Data'!$A$3:$E$56,5,0),"")</f>
        <v>2.564102564102564E-2</v>
      </c>
      <c r="K766" s="121" t="s">
        <v>466</v>
      </c>
      <c r="L766" s="39" t="str">
        <f>IFERROR(VLOOKUP(Table6[[#This Row],[Error Code]],'Basic Data'!$T:$U,2,0),"")</f>
        <v>Manual Stop</v>
      </c>
      <c r="M766" s="364" t="s">
        <v>479</v>
      </c>
      <c r="O766" s="346">
        <v>0.48958333333333331</v>
      </c>
      <c r="P766" s="346">
        <v>0.48958333333333331</v>
      </c>
      <c r="Q766" s="346">
        <v>0.52222222222222225</v>
      </c>
      <c r="R766" s="366">
        <f>IF(Table6[[#This Row],[Work Start TimeStamp]]="","",(Table6[[#This Row],[Work Start TimeStamp]]-Table6[[#This Row],[Fault Start TimeStamp]])*24)</f>
        <v>0</v>
      </c>
      <c r="S766" s="377">
        <f>(Table6[[#This Row],[Fault Clearance time]]-Table6[[#This Row],[Work Start TimeStamp]])*24</f>
        <v>0.78333333333333455</v>
      </c>
      <c r="T766" s="380">
        <f>(Table6[[#This Row],[Fault Clearance time]]-Table6[[#This Row],[Fault Start TimeStamp]])*24</f>
        <v>0.78333333333333455</v>
      </c>
      <c r="U766" s="364" t="s">
        <v>1238</v>
      </c>
      <c r="V766" s="364" t="s">
        <v>463</v>
      </c>
      <c r="W766" s="355">
        <f>Table6[[#This Row],[Breakdown Time]]*(1/39)</f>
        <v>2.0085470085470115E-2</v>
      </c>
      <c r="X766" s="353" t="s">
        <v>464</v>
      </c>
      <c r="Y766" s="364" t="s">
        <v>152</v>
      </c>
      <c r="Z766" s="121">
        <v>8964</v>
      </c>
      <c r="AA766" s="123">
        <v>292.57500000000044</v>
      </c>
      <c r="AB766" s="121" t="s">
        <v>478</v>
      </c>
    </row>
    <row r="767" spans="1:28">
      <c r="A767" s="121">
        <f t="shared" si="11"/>
        <v>766</v>
      </c>
      <c r="B767" s="379">
        <f>YEAR(Table6[[#This Row],[Date]])+IF(MONTH(Table6[[#This Row],[Date]])&gt;=4,1,0)</f>
        <v>2026</v>
      </c>
      <c r="C767" s="39">
        <f>YEAR(Table6[[#This Row],[Date]])</f>
        <v>2025</v>
      </c>
      <c r="D767" s="39" t="s">
        <v>490</v>
      </c>
      <c r="E767" s="135">
        <f>Table6[[#This Row],[Date]]-DAY(Table6[[#This Row],[Date]])+1</f>
        <v>45809</v>
      </c>
      <c r="F767" s="134">
        <v>45820</v>
      </c>
      <c r="G767" s="121" t="s">
        <v>126</v>
      </c>
      <c r="H767" s="39" t="str">
        <f>_xlfn.XLOOKUP(Table6[[#This Row],[Affected WTG]],'Basic Data'!$A:$A,'Basic Data'!$B:$B)</f>
        <v>PWEGPL</v>
      </c>
      <c r="I767" s="39" t="str">
        <f>_xlfn.XLOOKUP(Table6[[#This Row],[Affected WTG]],'Basic Data'!$A:$A,'Basic Data'!$C:$C)</f>
        <v>MSEDCL</v>
      </c>
      <c r="J767" s="363">
        <f>IFERROR(VLOOKUP(Table6[[#This Row],[Affected WTG]],'Basic Data'!$A$3:$E$56,5,0),"")</f>
        <v>2.564102564102564E-2</v>
      </c>
      <c r="K767" s="121">
        <v>550</v>
      </c>
      <c r="L767" s="39" t="str">
        <f>IFERROR(VLOOKUP(Table6[[#This Row],[Error Code]],'Basic Data'!$T:$U,2,0),"")</f>
        <v>Generator Fans Thermal Relay Triggered Too Long</v>
      </c>
      <c r="M767" s="364" t="s">
        <v>462</v>
      </c>
      <c r="O767" s="346">
        <v>0.94097222222222221</v>
      </c>
      <c r="P767" s="346">
        <v>0.97361111111111109</v>
      </c>
      <c r="Q767" s="346">
        <v>0.99652777777777779</v>
      </c>
      <c r="R767" s="366">
        <f>IF(Table6[[#This Row],[Work Start TimeStamp]]="","",(Table6[[#This Row],[Work Start TimeStamp]]-Table6[[#This Row],[Fault Start TimeStamp]])*24)</f>
        <v>0.78333333333333321</v>
      </c>
      <c r="S767" s="377">
        <f>(Table6[[#This Row],[Fault Clearance time]]-Table6[[#This Row],[Work Start TimeStamp]])*24</f>
        <v>0.55000000000000071</v>
      </c>
      <c r="T767" s="380">
        <f>(Table6[[#This Row],[Fault Clearance time]]-Table6[[#This Row],[Fault Start TimeStamp]])*24</f>
        <v>1.3333333333333339</v>
      </c>
      <c r="U767" s="364" t="s">
        <v>1239</v>
      </c>
      <c r="V767" s="364" t="s">
        <v>463</v>
      </c>
      <c r="W767" s="355">
        <f>Table6[[#This Row],[Breakdown Time]]*(1/39)</f>
        <v>3.4188034188034205E-2</v>
      </c>
      <c r="X767" s="353" t="s">
        <v>465</v>
      </c>
      <c r="Y767" s="364" t="s">
        <v>127</v>
      </c>
      <c r="Z767" s="121">
        <v>12738</v>
      </c>
      <c r="AA767" s="123">
        <v>707.66666666666697</v>
      </c>
      <c r="AB767" s="121" t="s">
        <v>478</v>
      </c>
    </row>
    <row r="768" spans="1:28">
      <c r="A768" s="121">
        <f t="shared" si="11"/>
        <v>767</v>
      </c>
      <c r="B768" s="379">
        <f>YEAR(Table6[[#This Row],[Date]])+IF(MONTH(Table6[[#This Row],[Date]])&gt;=4,1,0)</f>
        <v>2026</v>
      </c>
      <c r="C768" s="39">
        <f>YEAR(Table6[[#This Row],[Date]])</f>
        <v>2025</v>
      </c>
      <c r="D768" s="39" t="s">
        <v>490</v>
      </c>
      <c r="E768" s="135">
        <f>Table6[[#This Row],[Date]]-DAY(Table6[[#This Row],[Date]])+1</f>
        <v>45809</v>
      </c>
      <c r="F768" s="134">
        <v>45821</v>
      </c>
      <c r="G768" s="121" t="s">
        <v>144</v>
      </c>
      <c r="H768" s="39" t="str">
        <f>_xlfn.XLOOKUP(Table6[[#This Row],[Affected WTG]],'Basic Data'!$A:$A,'Basic Data'!$B:$B)</f>
        <v>PWEGPL</v>
      </c>
      <c r="I768" s="39" t="str">
        <f>_xlfn.XLOOKUP(Table6[[#This Row],[Affected WTG]],'Basic Data'!$A:$A,'Basic Data'!$C:$C)</f>
        <v>MSEDCL</v>
      </c>
      <c r="J768" s="363">
        <f>IFERROR(VLOOKUP(Table6[[#This Row],[Affected WTG]],'Basic Data'!$A$3:$E$56,5,0),"")</f>
        <v>2.564102564102564E-2</v>
      </c>
      <c r="K768" s="121" t="s">
        <v>492</v>
      </c>
      <c r="L768" s="39" t="str">
        <f>IFERROR(VLOOKUP(Table6[[#This Row],[Error Code]],'Basic Data'!$T:$U,2,0),"")</f>
        <v>Manual Stop - Safety Related</v>
      </c>
      <c r="M768" s="364" t="s">
        <v>481</v>
      </c>
      <c r="O768" s="346">
        <v>0</v>
      </c>
      <c r="P768" s="346">
        <v>0.99998842592592596</v>
      </c>
      <c r="Q768" s="346">
        <v>0.99998842592592596</v>
      </c>
      <c r="R768" s="366">
        <f>IF(Table6[[#This Row],[Work Start TimeStamp]]="","",(Table6[[#This Row],[Work Start TimeStamp]]-Table6[[#This Row],[Fault Start TimeStamp]])*24)</f>
        <v>23.999722222222225</v>
      </c>
      <c r="S768" s="377">
        <f>(Table6[[#This Row],[Fault Clearance time]]-Table6[[#This Row],[Work Start TimeStamp]])*24</f>
        <v>0</v>
      </c>
      <c r="T768" s="380">
        <f>(Table6[[#This Row],[Fault Clearance time]]-Table6[[#This Row],[Fault Start TimeStamp]])*24</f>
        <v>23.999722222222225</v>
      </c>
      <c r="U768" s="364" t="s">
        <v>498</v>
      </c>
      <c r="V768" s="364" t="s">
        <v>473</v>
      </c>
      <c r="W768" s="355">
        <f>Table6[[#This Row],[Breakdown Time]]*(1/39)</f>
        <v>0.61537749287749288</v>
      </c>
      <c r="X768" s="353" t="s">
        <v>468</v>
      </c>
      <c r="Y768" s="364" t="s">
        <v>141</v>
      </c>
      <c r="Z768" s="121">
        <v>2121</v>
      </c>
      <c r="AA768" s="123">
        <v>2120.9754513888893</v>
      </c>
      <c r="AB768" s="121" t="s">
        <v>478</v>
      </c>
    </row>
    <row r="769" spans="1:28">
      <c r="A769" s="121">
        <f t="shared" si="11"/>
        <v>768</v>
      </c>
      <c r="B769" s="379">
        <f>YEAR(Table6[[#This Row],[Date]])+IF(MONTH(Table6[[#This Row],[Date]])&gt;=4,1,0)</f>
        <v>2026</v>
      </c>
      <c r="C769" s="39">
        <f>YEAR(Table6[[#This Row],[Date]])</f>
        <v>2025</v>
      </c>
      <c r="D769" s="39" t="s">
        <v>490</v>
      </c>
      <c r="E769" s="135">
        <f>Table6[[#This Row],[Date]]-DAY(Table6[[#This Row],[Date]])+1</f>
        <v>45809</v>
      </c>
      <c r="F769" s="134">
        <v>45821</v>
      </c>
      <c r="G769" s="121" t="s">
        <v>142</v>
      </c>
      <c r="H769" s="39" t="str">
        <f>_xlfn.XLOOKUP(Table6[[#This Row],[Affected WTG]],'Basic Data'!$A:$A,'Basic Data'!$B:$B)</f>
        <v>PWEGPL</v>
      </c>
      <c r="I769" s="39" t="str">
        <f>_xlfn.XLOOKUP(Table6[[#This Row],[Affected WTG]],'Basic Data'!$A:$A,'Basic Data'!$C:$C)</f>
        <v>MSEDCL</v>
      </c>
      <c r="J769" s="363">
        <f>IFERROR(VLOOKUP(Table6[[#This Row],[Affected WTG]],'Basic Data'!$A$3:$E$56,5,0),"")</f>
        <v>2.564102564102564E-2</v>
      </c>
      <c r="K769" s="121" t="s">
        <v>492</v>
      </c>
      <c r="L769" s="39" t="str">
        <f>IFERROR(VLOOKUP(Table6[[#This Row],[Error Code]],'Basic Data'!$T:$U,2,0),"")</f>
        <v>Manual Stop - Safety Related</v>
      </c>
      <c r="M769" s="364" t="s">
        <v>481</v>
      </c>
      <c r="O769" s="346">
        <v>0</v>
      </c>
      <c r="P769" s="346">
        <v>0.99998842592592596</v>
      </c>
      <c r="Q769" s="346">
        <v>0.99998842592592596</v>
      </c>
      <c r="R769" s="366">
        <f>IF(Table6[[#This Row],[Work Start TimeStamp]]="","",(Table6[[#This Row],[Work Start TimeStamp]]-Table6[[#This Row],[Fault Start TimeStamp]])*24)</f>
        <v>23.999722222222225</v>
      </c>
      <c r="S769" s="377">
        <f>(Table6[[#This Row],[Fault Clearance time]]-Table6[[#This Row],[Work Start TimeStamp]])*24</f>
        <v>0</v>
      </c>
      <c r="T769" s="380">
        <f>(Table6[[#This Row],[Fault Clearance time]]-Table6[[#This Row],[Fault Start TimeStamp]])*24</f>
        <v>23.999722222222225</v>
      </c>
      <c r="U769" s="364" t="s">
        <v>498</v>
      </c>
      <c r="V769" s="364" t="s">
        <v>473</v>
      </c>
      <c r="W769" s="355">
        <f>Table6[[#This Row],[Breakdown Time]]*(1/39)</f>
        <v>0.61537749287749288</v>
      </c>
      <c r="X769" s="353" t="s">
        <v>468</v>
      </c>
      <c r="Y769" s="364" t="s">
        <v>141</v>
      </c>
      <c r="Z769" s="121">
        <v>2121</v>
      </c>
      <c r="AA769" s="123">
        <v>2120.9754513888893</v>
      </c>
      <c r="AB769" s="121" t="s">
        <v>478</v>
      </c>
    </row>
    <row r="770" spans="1:28">
      <c r="A770" s="121">
        <f t="shared" si="11"/>
        <v>769</v>
      </c>
      <c r="B770" s="379">
        <f>YEAR(Table6[[#This Row],[Date]])+IF(MONTH(Table6[[#This Row],[Date]])&gt;=4,1,0)</f>
        <v>2026</v>
      </c>
      <c r="C770" s="39">
        <f>YEAR(Table6[[#This Row],[Date]])</f>
        <v>2025</v>
      </c>
      <c r="D770" s="39" t="s">
        <v>490</v>
      </c>
      <c r="E770" s="135">
        <f>Table6[[#This Row],[Date]]-DAY(Table6[[#This Row],[Date]])+1</f>
        <v>45809</v>
      </c>
      <c r="F770" s="134">
        <v>45821</v>
      </c>
      <c r="G770" s="121" t="s">
        <v>124</v>
      </c>
      <c r="H770" s="39" t="str">
        <f>_xlfn.XLOOKUP(Table6[[#This Row],[Affected WTG]],'Basic Data'!$A:$A,'Basic Data'!$B:$B)</f>
        <v>PWEGPL</v>
      </c>
      <c r="I770" s="39" t="str">
        <f>_xlfn.XLOOKUP(Table6[[#This Row],[Affected WTG]],'Basic Data'!$A:$A,'Basic Data'!$C:$C)</f>
        <v>MSEDCL</v>
      </c>
      <c r="J770" s="363">
        <f>IFERROR(VLOOKUP(Table6[[#This Row],[Affected WTG]],'Basic Data'!$A$3:$E$56,5,0),"")</f>
        <v>2.564102564102564E-2</v>
      </c>
      <c r="K770" s="121" t="s">
        <v>476</v>
      </c>
      <c r="L770" s="39" t="str">
        <f>IFERROR(VLOOKUP(Table6[[#This Row],[Error Code]],'Basic Data'!$T:$U,2,0),"")</f>
        <v>Manual Stop - Preventive Maintenance Activity</v>
      </c>
      <c r="M770" s="364" t="s">
        <v>474</v>
      </c>
      <c r="O770" s="346">
        <v>0.45277777777777778</v>
      </c>
      <c r="P770" s="346">
        <v>0.45277777777777778</v>
      </c>
      <c r="Q770" s="346">
        <v>0.75138888888888888</v>
      </c>
      <c r="R770" s="366">
        <f>IF(Table6[[#This Row],[Work Start TimeStamp]]="","",(Table6[[#This Row],[Work Start TimeStamp]]-Table6[[#This Row],[Fault Start TimeStamp]])*24)</f>
        <v>0</v>
      </c>
      <c r="S770" s="367">
        <f>(Table6[[#This Row],[Fault Clearance time]]-Table6[[#This Row],[Work Start TimeStamp]])*24</f>
        <v>7.1666666666666661</v>
      </c>
      <c r="T770" s="368">
        <f>(Table6[[#This Row],[Fault Clearance time]]-Table6[[#This Row],[Fault Start TimeStamp]])*24</f>
        <v>7.1666666666666661</v>
      </c>
      <c r="U770" s="364" t="s">
        <v>582</v>
      </c>
      <c r="V770" s="364" t="s">
        <v>463</v>
      </c>
      <c r="W770" s="355">
        <f>Table6[[#This Row],[Breakdown Time]]*(1/39)</f>
        <v>0.18376068376068375</v>
      </c>
      <c r="X770" s="353" t="s">
        <v>467</v>
      </c>
      <c r="Y770" s="364" t="s">
        <v>125</v>
      </c>
      <c r="Z770" s="121">
        <v>4167</v>
      </c>
      <c r="AA770" s="123">
        <v>1244.3125</v>
      </c>
      <c r="AB770" s="121" t="s">
        <v>478</v>
      </c>
    </row>
    <row r="771" spans="1:28">
      <c r="A771" s="121">
        <f t="shared" si="11"/>
        <v>770</v>
      </c>
      <c r="B771" s="379">
        <f>YEAR(Table6[[#This Row],[Date]])+IF(MONTH(Table6[[#This Row],[Date]])&gt;=4,1,0)</f>
        <v>2026</v>
      </c>
      <c r="C771" s="39">
        <f>YEAR(Table6[[#This Row],[Date]])</f>
        <v>2025</v>
      </c>
      <c r="D771" s="39" t="s">
        <v>490</v>
      </c>
      <c r="E771" s="135">
        <f>Table6[[#This Row],[Date]]-DAY(Table6[[#This Row],[Date]])+1</f>
        <v>45809</v>
      </c>
      <c r="F771" s="134">
        <v>45821</v>
      </c>
      <c r="G771" s="121" t="s">
        <v>131</v>
      </c>
      <c r="H771" s="39" t="str">
        <f>_xlfn.XLOOKUP(Table6[[#This Row],[Affected WTG]],'Basic Data'!$A:$A,'Basic Data'!$B:$B)</f>
        <v>PWEGPL</v>
      </c>
      <c r="I771" s="39" t="str">
        <f>_xlfn.XLOOKUP(Table6[[#This Row],[Affected WTG]],'Basic Data'!$A:$A,'Basic Data'!$C:$C)</f>
        <v>MSEDCL</v>
      </c>
      <c r="J771" s="363">
        <f>IFERROR(VLOOKUP(Table6[[#This Row],[Affected WTG]],'Basic Data'!$A$3:$E$56,5,0),"")</f>
        <v>2.564102564102564E-2</v>
      </c>
      <c r="K771" s="121">
        <v>5216</v>
      </c>
      <c r="L771" s="39" t="str">
        <f>IFERROR(VLOOKUP(Table6[[#This Row],[Error Code]],'Basic Data'!$T:$U,2,0),"")</f>
        <v>Grid Voltage Failure</v>
      </c>
      <c r="M771" s="364" t="s">
        <v>462</v>
      </c>
      <c r="O771" s="346">
        <v>0.50694444444444442</v>
      </c>
      <c r="P771" s="346">
        <v>0.55208333333333337</v>
      </c>
      <c r="Q771" s="346">
        <v>0.99998842592592596</v>
      </c>
      <c r="R771" s="366">
        <f>IF(Table6[[#This Row],[Work Start TimeStamp]]="","",(Table6[[#This Row],[Work Start TimeStamp]]-Table6[[#This Row],[Fault Start TimeStamp]])*24)</f>
        <v>1.0833333333333348</v>
      </c>
      <c r="S771" s="377">
        <f>(Table6[[#This Row],[Fault Clearance time]]-Table6[[#This Row],[Work Start TimeStamp]])*24</f>
        <v>10.749722222222221</v>
      </c>
      <c r="T771" s="380">
        <f>(Table6[[#This Row],[Fault Clearance time]]-Table6[[#This Row],[Fault Start TimeStamp]])*24</f>
        <v>11.833055555555557</v>
      </c>
      <c r="U771" s="364" t="s">
        <v>1240</v>
      </c>
      <c r="V771" s="364" t="s">
        <v>473</v>
      </c>
      <c r="W771" s="355">
        <f>Table6[[#This Row],[Breakdown Time]]*(1/39)</f>
        <v>0.30341168091168091</v>
      </c>
      <c r="X771" s="353" t="s">
        <v>465</v>
      </c>
      <c r="Y771" s="364" t="s">
        <v>130</v>
      </c>
      <c r="Z771" s="121">
        <v>3618</v>
      </c>
      <c r="AA771" s="123">
        <v>1783.8331250000001</v>
      </c>
      <c r="AB771" s="121" t="s">
        <v>478</v>
      </c>
    </row>
    <row r="772" spans="1:28">
      <c r="A772" s="121">
        <f t="shared" ref="A772:A835" si="12">A771+1</f>
        <v>771</v>
      </c>
      <c r="B772" s="379">
        <f>YEAR(Table6[[#This Row],[Date]])+IF(MONTH(Table6[[#This Row],[Date]])&gt;=4,1,0)</f>
        <v>2026</v>
      </c>
      <c r="C772" s="39">
        <f>YEAR(Table6[[#This Row],[Date]])</f>
        <v>2025</v>
      </c>
      <c r="D772" s="39" t="s">
        <v>490</v>
      </c>
      <c r="E772" s="135">
        <f>Table6[[#This Row],[Date]]-DAY(Table6[[#This Row],[Date]])+1</f>
        <v>45809</v>
      </c>
      <c r="F772" s="134">
        <v>45821</v>
      </c>
      <c r="G772" s="121" t="s">
        <v>140</v>
      </c>
      <c r="H772" s="39" t="str">
        <f>_xlfn.XLOOKUP(Table6[[#This Row],[Affected WTG]],'Basic Data'!$A:$A,'Basic Data'!$B:$B)</f>
        <v>PWEGPL</v>
      </c>
      <c r="I772" s="39" t="str">
        <f>_xlfn.XLOOKUP(Table6[[#This Row],[Affected WTG]],'Basic Data'!$A:$A,'Basic Data'!$C:$C)</f>
        <v>MSEDCL</v>
      </c>
      <c r="J772" s="363">
        <f>IFERROR(VLOOKUP(Table6[[#This Row],[Affected WTG]],'Basic Data'!$A$3:$E$56,5,0),"")</f>
        <v>2.564102564102564E-2</v>
      </c>
      <c r="K772" s="121">
        <v>2100</v>
      </c>
      <c r="L772" s="39" t="str">
        <f>IFERROR(VLOOKUP(Table6[[#This Row],[Error Code]],'Basic Data'!$T:$U,2,0),"")</f>
        <v>PLC Voltage Recovery</v>
      </c>
      <c r="M772" s="364" t="s">
        <v>462</v>
      </c>
      <c r="O772" s="346">
        <v>0.69791666666666663</v>
      </c>
      <c r="P772" s="346">
        <v>0.71527777777777779</v>
      </c>
      <c r="Q772" s="346">
        <v>0.71597222222222223</v>
      </c>
      <c r="R772" s="366">
        <f>IF(Table6[[#This Row],[Work Start TimeStamp]]="","",(Table6[[#This Row],[Work Start TimeStamp]]-Table6[[#This Row],[Fault Start TimeStamp]])*24)</f>
        <v>0.41666666666666785</v>
      </c>
      <c r="S772" s="377">
        <f>(Table6[[#This Row],[Fault Clearance time]]-Table6[[#This Row],[Work Start TimeStamp]])*24</f>
        <v>1.6666666666666607E-2</v>
      </c>
      <c r="T772" s="380">
        <f>(Table6[[#This Row],[Fault Clearance time]]-Table6[[#This Row],[Fault Start TimeStamp]])*24</f>
        <v>0.43333333333333446</v>
      </c>
      <c r="U772" s="364" t="s">
        <v>493</v>
      </c>
      <c r="V772" s="364" t="s">
        <v>463</v>
      </c>
      <c r="W772" s="355">
        <f>Table6[[#This Row],[Breakdown Time]]*(1/39)</f>
        <v>1.1111111111111139E-2</v>
      </c>
      <c r="X772" s="353" t="s">
        <v>465</v>
      </c>
      <c r="Y772" s="364" t="s">
        <v>138</v>
      </c>
      <c r="Z772" s="121">
        <v>2118</v>
      </c>
      <c r="AA772" s="123">
        <v>38.241666666666767</v>
      </c>
      <c r="AB772" s="121" t="s">
        <v>478</v>
      </c>
    </row>
    <row r="773" spans="1:28">
      <c r="A773" s="121">
        <f t="shared" si="12"/>
        <v>772</v>
      </c>
      <c r="B773" s="379">
        <f>YEAR(Table6[[#This Row],[Date]])+IF(MONTH(Table6[[#This Row],[Date]])&gt;=4,1,0)</f>
        <v>2026</v>
      </c>
      <c r="C773" s="39">
        <f>YEAR(Table6[[#This Row],[Date]])</f>
        <v>2025</v>
      </c>
      <c r="D773" s="39" t="s">
        <v>490</v>
      </c>
      <c r="E773" s="135">
        <f>Table6[[#This Row],[Date]]-DAY(Table6[[#This Row],[Date]])+1</f>
        <v>45809</v>
      </c>
      <c r="F773" s="134">
        <v>45821</v>
      </c>
      <c r="G773" s="121" t="s">
        <v>141</v>
      </c>
      <c r="H773" s="39" t="str">
        <f>_xlfn.XLOOKUP(Table6[[#This Row],[Affected WTG]],'Basic Data'!$A:$A,'Basic Data'!$B:$B)</f>
        <v>PWEGPL</v>
      </c>
      <c r="I773" s="39" t="str">
        <f>_xlfn.XLOOKUP(Table6[[#This Row],[Affected WTG]],'Basic Data'!$A:$A,'Basic Data'!$C:$C)</f>
        <v>MSEDCL</v>
      </c>
      <c r="J773" s="363">
        <f>IFERROR(VLOOKUP(Table6[[#This Row],[Affected WTG]],'Basic Data'!$A$3:$E$56,5,0),"")</f>
        <v>2.564102564102564E-2</v>
      </c>
      <c r="K773" s="121">
        <v>2100</v>
      </c>
      <c r="L773" s="39" t="str">
        <f>IFERROR(VLOOKUP(Table6[[#This Row],[Error Code]],'Basic Data'!$T:$U,2,0),"")</f>
        <v>PLC Voltage Recovery</v>
      </c>
      <c r="M773" s="364" t="s">
        <v>462</v>
      </c>
      <c r="O773" s="346">
        <v>0.69791666666666663</v>
      </c>
      <c r="P773" s="346">
        <v>0.72222222222222221</v>
      </c>
      <c r="Q773" s="346">
        <v>0.72291666666666665</v>
      </c>
      <c r="R773" s="366">
        <f>IF(Table6[[#This Row],[Work Start TimeStamp]]="","",(Table6[[#This Row],[Work Start TimeStamp]]-Table6[[#This Row],[Fault Start TimeStamp]])*24)</f>
        <v>0.58333333333333393</v>
      </c>
      <c r="S773" s="377">
        <f>(Table6[[#This Row],[Fault Clearance time]]-Table6[[#This Row],[Work Start TimeStamp]])*24</f>
        <v>1.6666666666666607E-2</v>
      </c>
      <c r="T773" s="380">
        <f>(Table6[[#This Row],[Fault Clearance time]]-Table6[[#This Row],[Fault Start TimeStamp]])*24</f>
        <v>0.60000000000000053</v>
      </c>
      <c r="U773" s="364" t="s">
        <v>493</v>
      </c>
      <c r="V773" s="364" t="s">
        <v>463</v>
      </c>
      <c r="W773" s="355">
        <f>Table6[[#This Row],[Breakdown Time]]*(1/39)</f>
        <v>1.5384615384615398E-2</v>
      </c>
      <c r="X773" s="353" t="s">
        <v>465</v>
      </c>
      <c r="Y773" s="364" t="s">
        <v>143</v>
      </c>
      <c r="Z773" s="121">
        <v>2123</v>
      </c>
      <c r="AA773" s="123">
        <v>53.075000000000045</v>
      </c>
      <c r="AB773" s="121" t="s">
        <v>478</v>
      </c>
    </row>
    <row r="774" spans="1:28">
      <c r="A774" s="121">
        <f t="shared" si="12"/>
        <v>773</v>
      </c>
      <c r="B774" s="379">
        <f>YEAR(Table6[[#This Row],[Date]])+IF(MONTH(Table6[[#This Row],[Date]])&gt;=4,1,0)</f>
        <v>2026</v>
      </c>
      <c r="C774" s="39">
        <f>YEAR(Table6[[#This Row],[Date]])</f>
        <v>2025</v>
      </c>
      <c r="D774" s="39" t="s">
        <v>490</v>
      </c>
      <c r="E774" s="135">
        <f>Table6[[#This Row],[Date]]-DAY(Table6[[#This Row],[Date]])+1</f>
        <v>45809</v>
      </c>
      <c r="F774" s="134">
        <v>45821</v>
      </c>
      <c r="G774" s="121" t="s">
        <v>143</v>
      </c>
      <c r="H774" s="39" t="str">
        <f>_xlfn.XLOOKUP(Table6[[#This Row],[Affected WTG]],'Basic Data'!$A:$A,'Basic Data'!$B:$B)</f>
        <v>PWEGPL</v>
      </c>
      <c r="I774" s="39" t="str">
        <f>_xlfn.XLOOKUP(Table6[[#This Row],[Affected WTG]],'Basic Data'!$A:$A,'Basic Data'!$C:$C)</f>
        <v>MSEDCL</v>
      </c>
      <c r="J774" s="363">
        <f>IFERROR(VLOOKUP(Table6[[#This Row],[Affected WTG]],'Basic Data'!$A$3:$E$56,5,0),"")</f>
        <v>2.564102564102564E-2</v>
      </c>
      <c r="K774" s="121">
        <v>2100</v>
      </c>
      <c r="L774" s="39" t="str">
        <f>IFERROR(VLOOKUP(Table6[[#This Row],[Error Code]],'Basic Data'!$T:$U,2,0),"")</f>
        <v>PLC Voltage Recovery</v>
      </c>
      <c r="M774" s="364" t="s">
        <v>462</v>
      </c>
      <c r="O774" s="346">
        <v>0.69791666666666663</v>
      </c>
      <c r="P774" s="346">
        <v>0.72916666666666663</v>
      </c>
      <c r="Q774" s="346">
        <v>0.72986111111111107</v>
      </c>
      <c r="R774" s="366">
        <f>IF(Table6[[#This Row],[Work Start TimeStamp]]="","",(Table6[[#This Row],[Work Start TimeStamp]]-Table6[[#This Row],[Fault Start TimeStamp]])*24)</f>
        <v>0.75</v>
      </c>
      <c r="S774" s="377">
        <f>(Table6[[#This Row],[Fault Clearance time]]-Table6[[#This Row],[Work Start TimeStamp]])*24</f>
        <v>1.6666666666666607E-2</v>
      </c>
      <c r="T774" s="380">
        <f>(Table6[[#This Row],[Fault Clearance time]]-Table6[[#This Row],[Fault Start TimeStamp]])*24</f>
        <v>0.76666666666666661</v>
      </c>
      <c r="U774" s="364" t="s">
        <v>493</v>
      </c>
      <c r="V774" s="364" t="s">
        <v>463</v>
      </c>
      <c r="W774" s="355">
        <f>Table6[[#This Row],[Breakdown Time]]*(1/39)</f>
        <v>1.9658119658119654E-2</v>
      </c>
      <c r="X774" s="353" t="s">
        <v>465</v>
      </c>
      <c r="Y774" s="364" t="s">
        <v>141</v>
      </c>
      <c r="Z774" s="121">
        <v>2121</v>
      </c>
      <c r="AA774" s="123">
        <v>67.754166666666663</v>
      </c>
      <c r="AB774" s="121" t="s">
        <v>478</v>
      </c>
    </row>
    <row r="775" spans="1:28">
      <c r="A775" s="121">
        <f t="shared" si="12"/>
        <v>774</v>
      </c>
      <c r="B775" s="379">
        <f>YEAR(Table6[[#This Row],[Date]])+IF(MONTH(Table6[[#This Row],[Date]])&gt;=4,1,0)</f>
        <v>2026</v>
      </c>
      <c r="C775" s="39">
        <f>YEAR(Table6[[#This Row],[Date]])</f>
        <v>2025</v>
      </c>
      <c r="D775" s="39" t="s">
        <v>490</v>
      </c>
      <c r="E775" s="135">
        <f>Table6[[#This Row],[Date]]-DAY(Table6[[#This Row],[Date]])+1</f>
        <v>45809</v>
      </c>
      <c r="F775" s="134">
        <v>45821</v>
      </c>
      <c r="G775" s="121" t="s">
        <v>151</v>
      </c>
      <c r="H775" s="39" t="str">
        <f>_xlfn.XLOOKUP(Table6[[#This Row],[Affected WTG]],'Basic Data'!$A:$A,'Basic Data'!$B:$B)</f>
        <v>PWEGPL</v>
      </c>
      <c r="I775" s="39" t="str">
        <f>_xlfn.XLOOKUP(Table6[[#This Row],[Affected WTG]],'Basic Data'!$A:$A,'Basic Data'!$C:$C)</f>
        <v>MSEDCL</v>
      </c>
      <c r="J775" s="363">
        <f>IFERROR(VLOOKUP(Table6[[#This Row],[Affected WTG]],'Basic Data'!$A$3:$E$56,5,0),"")</f>
        <v>2.564102564102564E-2</v>
      </c>
      <c r="K775" s="121" t="s">
        <v>466</v>
      </c>
      <c r="L775" s="39" t="str">
        <f>IFERROR(VLOOKUP(Table6[[#This Row],[Error Code]],'Basic Data'!$T:$U,2,0),"")</f>
        <v>Manual Stop</v>
      </c>
      <c r="M775" s="364" t="s">
        <v>479</v>
      </c>
      <c r="O775" s="346">
        <v>0.53402777777777777</v>
      </c>
      <c r="P775" s="346">
        <v>0.53402777777777777</v>
      </c>
      <c r="Q775" s="346">
        <v>0.58194444444444449</v>
      </c>
      <c r="R775" s="366">
        <f>IF(Table6[[#This Row],[Work Start TimeStamp]]="","",(Table6[[#This Row],[Work Start TimeStamp]]-Table6[[#This Row],[Fault Start TimeStamp]])*24)</f>
        <v>0</v>
      </c>
      <c r="S775" s="377">
        <f>(Table6[[#This Row],[Fault Clearance time]]-Table6[[#This Row],[Work Start TimeStamp]])*24</f>
        <v>1.1500000000000012</v>
      </c>
      <c r="T775" s="380">
        <f>(Table6[[#This Row],[Fault Clearance time]]-Table6[[#This Row],[Fault Start TimeStamp]])*24</f>
        <v>1.1500000000000012</v>
      </c>
      <c r="U775" s="364" t="s">
        <v>1213</v>
      </c>
      <c r="V775" s="364" t="s">
        <v>463</v>
      </c>
      <c r="W775" s="355">
        <f>Table6[[#This Row],[Breakdown Time]]*(1/39)</f>
        <v>2.9487179487179518E-2</v>
      </c>
      <c r="X775" s="353" t="s">
        <v>464</v>
      </c>
      <c r="Y775" s="364" t="s">
        <v>152</v>
      </c>
      <c r="Z775" s="121">
        <v>2762</v>
      </c>
      <c r="AA775" s="123">
        <v>132.34583333333347</v>
      </c>
      <c r="AB775" s="121" t="s">
        <v>478</v>
      </c>
    </row>
    <row r="776" spans="1:28">
      <c r="A776" s="121">
        <f t="shared" si="12"/>
        <v>775</v>
      </c>
      <c r="B776" s="379">
        <f>YEAR(Table6[[#This Row],[Date]])+IF(MONTH(Table6[[#This Row],[Date]])&gt;=4,1,0)</f>
        <v>2026</v>
      </c>
      <c r="C776" s="39">
        <f>YEAR(Table6[[#This Row],[Date]])</f>
        <v>2025</v>
      </c>
      <c r="D776" s="39" t="s">
        <v>490</v>
      </c>
      <c r="E776" s="135">
        <f>Table6[[#This Row],[Date]]-DAY(Table6[[#This Row],[Date]])+1</f>
        <v>45809</v>
      </c>
      <c r="F776" s="134">
        <v>45822</v>
      </c>
      <c r="G776" s="121" t="s">
        <v>144</v>
      </c>
      <c r="H776" s="39" t="str">
        <f>_xlfn.XLOOKUP(Table6[[#This Row],[Affected WTG]],'Basic Data'!$A:$A,'Basic Data'!$B:$B)</f>
        <v>PWEGPL</v>
      </c>
      <c r="I776" s="39" t="str">
        <f>_xlfn.XLOOKUP(Table6[[#This Row],[Affected WTG]],'Basic Data'!$A:$A,'Basic Data'!$C:$C)</f>
        <v>MSEDCL</v>
      </c>
      <c r="J776" s="363">
        <f>IFERROR(VLOOKUP(Table6[[#This Row],[Affected WTG]],'Basic Data'!$A$3:$E$56,5,0),"")</f>
        <v>2.564102564102564E-2</v>
      </c>
      <c r="K776" s="121" t="s">
        <v>492</v>
      </c>
      <c r="L776" s="39" t="str">
        <f>IFERROR(VLOOKUP(Table6[[#This Row],[Error Code]],'Basic Data'!$T:$U,2,0),"")</f>
        <v>Manual Stop - Safety Related</v>
      </c>
      <c r="M776" s="364" t="s">
        <v>481</v>
      </c>
      <c r="O776" s="346">
        <v>0</v>
      </c>
      <c r="P776" s="346">
        <v>0.99998842592592596</v>
      </c>
      <c r="Q776" s="346">
        <v>0.99998842592592596</v>
      </c>
      <c r="R776" s="366">
        <f>IF(Table6[[#This Row],[Work Start TimeStamp]]="","",(Table6[[#This Row],[Work Start TimeStamp]]-Table6[[#This Row],[Fault Start TimeStamp]])*24)</f>
        <v>23.999722222222225</v>
      </c>
      <c r="S776" s="377">
        <f>(Table6[[#This Row],[Fault Clearance time]]-Table6[[#This Row],[Work Start TimeStamp]])*24</f>
        <v>0</v>
      </c>
      <c r="T776" s="380">
        <f>(Table6[[#This Row],[Fault Clearance time]]-Table6[[#This Row],[Fault Start TimeStamp]])*24</f>
        <v>23.999722222222225</v>
      </c>
      <c r="U776" s="364" t="s">
        <v>498</v>
      </c>
      <c r="V776" s="364" t="s">
        <v>473</v>
      </c>
      <c r="W776" s="355">
        <f>Table6[[#This Row],[Breakdown Time]]*(1/39)</f>
        <v>0.61537749287749288</v>
      </c>
      <c r="X776" s="353" t="s">
        <v>468</v>
      </c>
      <c r="Y776" s="364" t="s">
        <v>141</v>
      </c>
      <c r="Z776" s="121">
        <v>2153</v>
      </c>
      <c r="AA776" s="123">
        <f>IFERROR((Table6[[#This Row],[Paired WTG Generation for loss calculation]]/24)*Table6[[#This Row],[Breakdown Time]],"")</f>
        <v>2152.9750810185187</v>
      </c>
      <c r="AB776" s="121" t="s">
        <v>478</v>
      </c>
    </row>
    <row r="777" spans="1:28">
      <c r="A777" s="121">
        <f t="shared" si="12"/>
        <v>776</v>
      </c>
      <c r="B777" s="379">
        <f>YEAR(Table6[[#This Row],[Date]])+IF(MONTH(Table6[[#This Row],[Date]])&gt;=4,1,0)</f>
        <v>2026</v>
      </c>
      <c r="C777" s="39">
        <f>YEAR(Table6[[#This Row],[Date]])</f>
        <v>2025</v>
      </c>
      <c r="D777" s="39" t="s">
        <v>490</v>
      </c>
      <c r="E777" s="135">
        <f>Table6[[#This Row],[Date]]-DAY(Table6[[#This Row],[Date]])+1</f>
        <v>45809</v>
      </c>
      <c r="F777" s="134">
        <v>45822</v>
      </c>
      <c r="G777" s="121" t="s">
        <v>142</v>
      </c>
      <c r="H777" s="39" t="str">
        <f>_xlfn.XLOOKUP(Table6[[#This Row],[Affected WTG]],'Basic Data'!$A:$A,'Basic Data'!$B:$B)</f>
        <v>PWEGPL</v>
      </c>
      <c r="I777" s="39" t="str">
        <f>_xlfn.XLOOKUP(Table6[[#This Row],[Affected WTG]],'Basic Data'!$A:$A,'Basic Data'!$C:$C)</f>
        <v>MSEDCL</v>
      </c>
      <c r="J777" s="363">
        <f>IFERROR(VLOOKUP(Table6[[#This Row],[Affected WTG]],'Basic Data'!$A$3:$E$56,5,0),"")</f>
        <v>2.564102564102564E-2</v>
      </c>
      <c r="K777" s="121" t="s">
        <v>492</v>
      </c>
      <c r="L777" s="39" t="str">
        <f>IFERROR(VLOOKUP(Table6[[#This Row],[Error Code]],'Basic Data'!$T:$U,2,0),"")</f>
        <v>Manual Stop - Safety Related</v>
      </c>
      <c r="M777" s="364" t="s">
        <v>481</v>
      </c>
      <c r="O777" s="346">
        <v>0</v>
      </c>
      <c r="P777" s="346">
        <v>0.99998842592592596</v>
      </c>
      <c r="Q777" s="346">
        <v>0.99998842592592596</v>
      </c>
      <c r="R777" s="366">
        <f>IF(Table6[[#This Row],[Work Start TimeStamp]]="","",(Table6[[#This Row],[Work Start TimeStamp]]-Table6[[#This Row],[Fault Start TimeStamp]])*24)</f>
        <v>23.999722222222225</v>
      </c>
      <c r="S777" s="377">
        <f>(Table6[[#This Row],[Fault Clearance time]]-Table6[[#This Row],[Work Start TimeStamp]])*24</f>
        <v>0</v>
      </c>
      <c r="T777" s="380">
        <f>(Table6[[#This Row],[Fault Clearance time]]-Table6[[#This Row],[Fault Start TimeStamp]])*24</f>
        <v>23.999722222222225</v>
      </c>
      <c r="U777" s="364" t="s">
        <v>498</v>
      </c>
      <c r="V777" s="364" t="s">
        <v>473</v>
      </c>
      <c r="W777" s="355">
        <f>Table6[[#This Row],[Breakdown Time]]*(1/39)</f>
        <v>0.61537749287749288</v>
      </c>
      <c r="X777" s="353" t="s">
        <v>468</v>
      </c>
      <c r="Y777" s="364" t="s">
        <v>141</v>
      </c>
      <c r="Z777" s="121">
        <v>2153</v>
      </c>
      <c r="AA777" s="123">
        <f>IFERROR((Table6[[#This Row],[Paired WTG Generation for loss calculation]]/24)*Table6[[#This Row],[Breakdown Time]],"")</f>
        <v>2152.9750810185187</v>
      </c>
      <c r="AB777" s="121" t="s">
        <v>478</v>
      </c>
    </row>
    <row r="778" spans="1:28">
      <c r="A778" s="121">
        <f t="shared" si="12"/>
        <v>777</v>
      </c>
      <c r="B778" s="379">
        <f>YEAR(Table6[[#This Row],[Date]])+IF(MONTH(Table6[[#This Row],[Date]])&gt;=4,1,0)</f>
        <v>2026</v>
      </c>
      <c r="C778" s="39">
        <f>YEAR(Table6[[#This Row],[Date]])</f>
        <v>2025</v>
      </c>
      <c r="D778" s="39" t="s">
        <v>490</v>
      </c>
      <c r="E778" s="135">
        <f>Table6[[#This Row],[Date]]-DAY(Table6[[#This Row],[Date]])+1</f>
        <v>45809</v>
      </c>
      <c r="F778" s="134">
        <v>45822</v>
      </c>
      <c r="G778" s="121" t="s">
        <v>131</v>
      </c>
      <c r="H778" s="39" t="str">
        <f>_xlfn.XLOOKUP(Table6[[#This Row],[Affected WTG]],'Basic Data'!$A:$A,'Basic Data'!$B:$B)</f>
        <v>PWEGPL</v>
      </c>
      <c r="I778" s="39" t="str">
        <f>_xlfn.XLOOKUP(Table6[[#This Row],[Affected WTG]],'Basic Data'!$A:$A,'Basic Data'!$C:$C)</f>
        <v>MSEDCL</v>
      </c>
      <c r="J778" s="363">
        <f>IFERROR(VLOOKUP(Table6[[#This Row],[Affected WTG]],'Basic Data'!$A$3:$E$56,5,0),"")</f>
        <v>2.564102564102564E-2</v>
      </c>
      <c r="K778" s="121">
        <v>5216</v>
      </c>
      <c r="L778" s="39" t="str">
        <f>IFERROR(VLOOKUP(Table6[[#This Row],[Error Code]],'Basic Data'!$T:$U,2,0),"")</f>
        <v>Grid Voltage Failure</v>
      </c>
      <c r="M778" s="364" t="s">
        <v>462</v>
      </c>
      <c r="O778" s="346">
        <v>0</v>
      </c>
      <c r="P778" s="346">
        <v>0.99998842592592596</v>
      </c>
      <c r="Q778" s="346">
        <v>0.99998842592592596</v>
      </c>
      <c r="R778" s="366">
        <f>IF(Table6[[#This Row],[Work Start TimeStamp]]="","",(Table6[[#This Row],[Work Start TimeStamp]]-Table6[[#This Row],[Fault Start TimeStamp]])*24)</f>
        <v>23.999722222222225</v>
      </c>
      <c r="S778" s="377">
        <f>(Table6[[#This Row],[Fault Clearance time]]-Table6[[#This Row],[Work Start TimeStamp]])*24</f>
        <v>0</v>
      </c>
      <c r="T778" s="380">
        <f>(Table6[[#This Row],[Fault Clearance time]]-Table6[[#This Row],[Fault Start TimeStamp]])*24</f>
        <v>23.999722222222225</v>
      </c>
      <c r="U778" s="364" t="s">
        <v>1247</v>
      </c>
      <c r="V778" s="364" t="s">
        <v>473</v>
      </c>
      <c r="W778" s="355">
        <f>Table6[[#This Row],[Breakdown Time]]*(1/39)</f>
        <v>0.61537749287749288</v>
      </c>
      <c r="X778" s="353" t="s">
        <v>465</v>
      </c>
      <c r="Y778" s="364" t="s">
        <v>132</v>
      </c>
      <c r="Z778" s="121">
        <v>1943</v>
      </c>
      <c r="AA778" s="123">
        <f>IFERROR((Table6[[#This Row],[Paired WTG Generation for loss calculation]]/24)*Table6[[#This Row],[Breakdown Time]],"")</f>
        <v>1942.9775115740742</v>
      </c>
      <c r="AB778" s="121" t="s">
        <v>1246</v>
      </c>
    </row>
    <row r="779" spans="1:28">
      <c r="A779" s="121">
        <f t="shared" si="12"/>
        <v>778</v>
      </c>
      <c r="B779" s="379">
        <f>YEAR(Table6[[#This Row],[Date]])+IF(MONTH(Table6[[#This Row],[Date]])&gt;=4,1,0)</f>
        <v>2026</v>
      </c>
      <c r="C779" s="39">
        <f>YEAR(Table6[[#This Row],[Date]])</f>
        <v>2025</v>
      </c>
      <c r="D779" s="39" t="s">
        <v>490</v>
      </c>
      <c r="E779" s="135">
        <f>Table6[[#This Row],[Date]]-DAY(Table6[[#This Row],[Date]])+1</f>
        <v>45809</v>
      </c>
      <c r="F779" s="134">
        <v>45822</v>
      </c>
      <c r="G779" s="121" t="s">
        <v>130</v>
      </c>
      <c r="H779" s="39" t="str">
        <f>_xlfn.XLOOKUP(Table6[[#This Row],[Affected WTG]],'Basic Data'!$A:$A,'Basic Data'!$B:$B)</f>
        <v>PWEGPL</v>
      </c>
      <c r="I779" s="39" t="str">
        <f>_xlfn.XLOOKUP(Table6[[#This Row],[Affected WTG]],'Basic Data'!$A:$A,'Basic Data'!$C:$C)</f>
        <v>MSEDCL</v>
      </c>
      <c r="J779" s="363">
        <f>IFERROR(VLOOKUP(Table6[[#This Row],[Affected WTG]],'Basic Data'!$A$3:$E$56,5,0),"")</f>
        <v>2.564102564102564E-2</v>
      </c>
      <c r="K779" s="121">
        <v>2118</v>
      </c>
      <c r="L779" s="39" t="str">
        <f>IFERROR(VLOOKUP(Table6[[#This Row],[Error Code]],'Basic Data'!$T:$U,2,0),"")</f>
        <v>Bus Error - Interbus Failure</v>
      </c>
      <c r="M779" s="364" t="s">
        <v>462</v>
      </c>
      <c r="O779" s="346">
        <v>0.45555555555555555</v>
      </c>
      <c r="P779" s="346">
        <v>0.4826388888888889</v>
      </c>
      <c r="Q779" s="346">
        <v>0.50416666666666665</v>
      </c>
      <c r="R779" s="366">
        <f>IF(Table6[[#This Row],[Work Start TimeStamp]]="","",(Table6[[#This Row],[Work Start TimeStamp]]-Table6[[#This Row],[Fault Start TimeStamp]])*24)</f>
        <v>0.65000000000000036</v>
      </c>
      <c r="S779" s="377">
        <f>(Table6[[#This Row],[Fault Clearance time]]-Table6[[#This Row],[Work Start TimeStamp]])*24</f>
        <v>0.51666666666666616</v>
      </c>
      <c r="T779" s="380">
        <f>(Table6[[#This Row],[Fault Clearance time]]-Table6[[#This Row],[Fault Start TimeStamp]])*24</f>
        <v>1.1666666666666665</v>
      </c>
      <c r="U779" s="364" t="s">
        <v>1244</v>
      </c>
      <c r="V779" s="364" t="s">
        <v>463</v>
      </c>
      <c r="W779" s="355">
        <f>Table6[[#This Row],[Breakdown Time]]*(1/39)</f>
        <v>2.9914529914529909E-2</v>
      </c>
      <c r="X779" s="353" t="s">
        <v>465</v>
      </c>
      <c r="Y779" s="364" t="s">
        <v>132</v>
      </c>
      <c r="Z779" s="121">
        <v>1943</v>
      </c>
      <c r="AA779" s="123">
        <f>IFERROR((Table6[[#This Row],[Paired WTG Generation for loss calculation]]/24)*Table6[[#This Row],[Breakdown Time]],"")</f>
        <v>94.451388888888872</v>
      </c>
      <c r="AB779" s="121" t="s">
        <v>478</v>
      </c>
    </row>
    <row r="780" spans="1:28">
      <c r="A780" s="121">
        <f t="shared" si="12"/>
        <v>779</v>
      </c>
      <c r="B780" s="379">
        <f>YEAR(Table6[[#This Row],[Date]])+IF(MONTH(Table6[[#This Row],[Date]])&gt;=4,1,0)</f>
        <v>2026</v>
      </c>
      <c r="C780" s="39">
        <f>YEAR(Table6[[#This Row],[Date]])</f>
        <v>2025</v>
      </c>
      <c r="D780" s="39" t="s">
        <v>490</v>
      </c>
      <c r="E780" s="135">
        <f>Table6[[#This Row],[Date]]-DAY(Table6[[#This Row],[Date]])+1</f>
        <v>45809</v>
      </c>
      <c r="F780" s="134">
        <v>45822</v>
      </c>
      <c r="G780" s="121" t="s">
        <v>152</v>
      </c>
      <c r="H780" s="39" t="str">
        <f>_xlfn.XLOOKUP(Table6[[#This Row],[Affected WTG]],'Basic Data'!$A:$A,'Basic Data'!$B:$B)</f>
        <v>PWEGPL</v>
      </c>
      <c r="I780" s="39" t="str">
        <f>_xlfn.XLOOKUP(Table6[[#This Row],[Affected WTG]],'Basic Data'!$A:$A,'Basic Data'!$C:$C)</f>
        <v>MSEDCL</v>
      </c>
      <c r="J780" s="363">
        <f>IFERROR(VLOOKUP(Table6[[#This Row],[Affected WTG]],'Basic Data'!$A$3:$E$56,5,0),"")</f>
        <v>2.564102564102564E-2</v>
      </c>
      <c r="K780" s="121">
        <v>2118</v>
      </c>
      <c r="L780" s="39" t="str">
        <f>IFERROR(VLOOKUP(Table6[[#This Row],[Error Code]],'Basic Data'!$T:$U,2,0),"")</f>
        <v>Bus Error - Interbus Failure</v>
      </c>
      <c r="M780" s="364" t="s">
        <v>462</v>
      </c>
      <c r="O780" s="346">
        <v>0.50416666666666665</v>
      </c>
      <c r="P780" s="346">
        <v>0.60416666666666663</v>
      </c>
      <c r="Q780" s="346">
        <v>0.66736111111111107</v>
      </c>
      <c r="R780" s="366">
        <f>IF(Table6[[#This Row],[Work Start TimeStamp]]="","",(Table6[[#This Row],[Work Start TimeStamp]]-Table6[[#This Row],[Fault Start TimeStamp]])*24)</f>
        <v>2.3999999999999995</v>
      </c>
      <c r="S780" s="377">
        <f>(Table6[[#This Row],[Fault Clearance time]]-Table6[[#This Row],[Work Start TimeStamp]])*24</f>
        <v>1.5166666666666666</v>
      </c>
      <c r="T780" s="380">
        <f>(Table6[[#This Row],[Fault Clearance time]]-Table6[[#This Row],[Fault Start TimeStamp]])*24</f>
        <v>3.9166666666666661</v>
      </c>
      <c r="U780" s="364" t="s">
        <v>1245</v>
      </c>
      <c r="V780" s="364" t="s">
        <v>463</v>
      </c>
      <c r="W780" s="355">
        <f>Table6[[#This Row],[Breakdown Time]]*(1/39)</f>
        <v>0.1004273504273504</v>
      </c>
      <c r="X780" s="353" t="s">
        <v>465</v>
      </c>
      <c r="Y780" s="364" t="s">
        <v>153</v>
      </c>
      <c r="Z780" s="121">
        <v>2126</v>
      </c>
      <c r="AA780" s="123">
        <f>IFERROR((Table6[[#This Row],[Paired WTG Generation for loss calculation]]/24)*Table6[[#This Row],[Breakdown Time]],"")</f>
        <v>346.9513888888888</v>
      </c>
      <c r="AB780" s="121" t="s">
        <v>478</v>
      </c>
    </row>
    <row r="781" spans="1:28">
      <c r="A781" s="121">
        <f t="shared" si="12"/>
        <v>780</v>
      </c>
      <c r="B781" s="379">
        <f>YEAR(Table6[[#This Row],[Date]])+IF(MONTH(Table6[[#This Row],[Date]])&gt;=4,1,0)</f>
        <v>2026</v>
      </c>
      <c r="C781" s="39">
        <f>YEAR(Table6[[#This Row],[Date]])</f>
        <v>2025</v>
      </c>
      <c r="D781" s="39" t="s">
        <v>490</v>
      </c>
      <c r="E781" s="135">
        <f>Table6[[#This Row],[Date]]-DAY(Table6[[#This Row],[Date]])+1</f>
        <v>45809</v>
      </c>
      <c r="F781" s="134">
        <v>45822</v>
      </c>
      <c r="G781" s="121" t="s">
        <v>133</v>
      </c>
      <c r="H781" s="39" t="str">
        <f>_xlfn.XLOOKUP(Table6[[#This Row],[Affected WTG]],'Basic Data'!$A:$A,'Basic Data'!$B:$B)</f>
        <v>PWEGPL</v>
      </c>
      <c r="I781" s="39" t="str">
        <f>_xlfn.XLOOKUP(Table6[[#This Row],[Affected WTG]],'Basic Data'!$A:$A,'Basic Data'!$C:$C)</f>
        <v>MSEDCL</v>
      </c>
      <c r="J781" s="363">
        <f>IFERROR(VLOOKUP(Table6[[#This Row],[Affected WTG]],'Basic Data'!$A$3:$E$56,5,0),"")</f>
        <v>2.564102564102564E-2</v>
      </c>
      <c r="K781" s="121" t="s">
        <v>466</v>
      </c>
      <c r="L781" s="39" t="str">
        <f>IFERROR(VLOOKUP(Table6[[#This Row],[Error Code]],'Basic Data'!$T:$U,2,0),"")</f>
        <v>Manual Stop</v>
      </c>
      <c r="M781" s="364" t="s">
        <v>479</v>
      </c>
      <c r="O781" s="346">
        <v>0.58472222222222225</v>
      </c>
      <c r="P781" s="346">
        <v>0.58472222222222225</v>
      </c>
      <c r="Q781" s="346">
        <v>0.6875</v>
      </c>
      <c r="R781" s="366">
        <f>IF(Table6[[#This Row],[Work Start TimeStamp]]="","",(Table6[[#This Row],[Work Start TimeStamp]]-Table6[[#This Row],[Fault Start TimeStamp]])*24)</f>
        <v>0</v>
      </c>
      <c r="S781" s="377">
        <f>(Table6[[#This Row],[Fault Clearance time]]-Table6[[#This Row],[Work Start TimeStamp]])*24</f>
        <v>2.4666666666666659</v>
      </c>
      <c r="T781" s="380">
        <f>(Table6[[#This Row],[Fault Clearance time]]-Table6[[#This Row],[Fault Start TimeStamp]])*24</f>
        <v>2.4666666666666659</v>
      </c>
      <c r="U781" s="364" t="s">
        <v>1243</v>
      </c>
      <c r="V781" s="364" t="s">
        <v>463</v>
      </c>
      <c r="W781" s="355">
        <f>Table6[[#This Row],[Breakdown Time]]*(1/39)</f>
        <v>6.3247863247863231E-2</v>
      </c>
      <c r="X781" s="353" t="s">
        <v>464</v>
      </c>
      <c r="Y781" s="364" t="s">
        <v>132</v>
      </c>
      <c r="Z781" s="121">
        <v>1943</v>
      </c>
      <c r="AA781" s="123">
        <f>IFERROR((Table6[[#This Row],[Paired WTG Generation for loss calculation]]/24)*Table6[[#This Row],[Breakdown Time]],"")</f>
        <v>199.69722222222214</v>
      </c>
      <c r="AB781" s="121" t="s">
        <v>478</v>
      </c>
    </row>
    <row r="782" spans="1:28">
      <c r="A782" s="121">
        <f t="shared" si="12"/>
        <v>781</v>
      </c>
      <c r="B782" s="379">
        <f>YEAR(Table6[[#This Row],[Date]])+IF(MONTH(Table6[[#This Row],[Date]])&gt;=4,1,0)</f>
        <v>2026</v>
      </c>
      <c r="C782" s="39">
        <f>YEAR(Table6[[#This Row],[Date]])</f>
        <v>2025</v>
      </c>
      <c r="D782" s="39" t="s">
        <v>490</v>
      </c>
      <c r="E782" s="135">
        <f>Table6[[#This Row],[Date]]-DAY(Table6[[#This Row],[Date]])+1</f>
        <v>45809</v>
      </c>
      <c r="F782" s="134">
        <v>45822</v>
      </c>
      <c r="G782" s="121" t="s">
        <v>118</v>
      </c>
      <c r="H782" s="39" t="str">
        <f>_xlfn.XLOOKUP(Table6[[#This Row],[Affected WTG]],'Basic Data'!$A:$A,'Basic Data'!$B:$B)</f>
        <v>PWEGPL</v>
      </c>
      <c r="I782" s="39" t="str">
        <f>_xlfn.XLOOKUP(Table6[[#This Row],[Affected WTG]],'Basic Data'!$A:$A,'Basic Data'!$C:$C)</f>
        <v>MSEDCL</v>
      </c>
      <c r="J782" s="363">
        <f>IFERROR(VLOOKUP(Table6[[#This Row],[Affected WTG]],'Basic Data'!$A$3:$E$56,5,0),"")</f>
        <v>2.564102564102564E-2</v>
      </c>
      <c r="K782" s="121">
        <v>2118</v>
      </c>
      <c r="L782" s="39" t="str">
        <f>IFERROR(VLOOKUP(Table6[[#This Row],[Error Code]],'Basic Data'!$T:$U,2,0),"")</f>
        <v>Bus Error - Interbus Failure</v>
      </c>
      <c r="M782" s="364" t="s">
        <v>462</v>
      </c>
      <c r="O782" s="346">
        <v>0.54861111111111116</v>
      </c>
      <c r="P782" s="346">
        <v>0.5756944444444444</v>
      </c>
      <c r="Q782" s="346">
        <v>0.58194444444444449</v>
      </c>
      <c r="R782" s="366">
        <f>IF(Table6[[#This Row],[Work Start TimeStamp]]="","",(Table6[[#This Row],[Work Start TimeStamp]]-Table6[[#This Row],[Fault Start TimeStamp]])*24)</f>
        <v>0.64999999999999769</v>
      </c>
      <c r="S782" s="377">
        <f>(Table6[[#This Row],[Fault Clearance time]]-Table6[[#This Row],[Work Start TimeStamp]])*24</f>
        <v>0.15000000000000213</v>
      </c>
      <c r="T782" s="380">
        <f>(Table6[[#This Row],[Fault Clearance time]]-Table6[[#This Row],[Fault Start TimeStamp]])*24</f>
        <v>0.79999999999999982</v>
      </c>
      <c r="U782" s="364" t="s">
        <v>493</v>
      </c>
      <c r="V782" s="364" t="s">
        <v>463</v>
      </c>
      <c r="W782" s="355">
        <f>Table6[[#This Row],[Breakdown Time]]*(1/39)</f>
        <v>2.0512820512820506E-2</v>
      </c>
      <c r="X782" s="353" t="s">
        <v>465</v>
      </c>
      <c r="Y782" s="364" t="s">
        <v>117</v>
      </c>
      <c r="Z782" s="121">
        <v>2120</v>
      </c>
      <c r="AA782" s="123">
        <f>IFERROR((Table6[[#This Row],[Paired WTG Generation for loss calculation]]/24)*Table6[[#This Row],[Breakdown Time]],"")</f>
        <v>70.666666666666643</v>
      </c>
      <c r="AB782" s="121" t="s">
        <v>478</v>
      </c>
    </row>
    <row r="783" spans="1:28">
      <c r="A783" s="121">
        <f t="shared" si="12"/>
        <v>782</v>
      </c>
      <c r="B783" s="379">
        <f>YEAR(Table6[[#This Row],[Date]])+IF(MONTH(Table6[[#This Row],[Date]])&gt;=4,1,0)</f>
        <v>2026</v>
      </c>
      <c r="C783" s="39">
        <f>YEAR(Table6[[#This Row],[Date]])</f>
        <v>2025</v>
      </c>
      <c r="D783" s="39" t="s">
        <v>490</v>
      </c>
      <c r="E783" s="135">
        <f>Table6[[#This Row],[Date]]-DAY(Table6[[#This Row],[Date]])+1</f>
        <v>45809</v>
      </c>
      <c r="F783" s="134">
        <v>45823</v>
      </c>
      <c r="G783" s="121" t="s">
        <v>144</v>
      </c>
      <c r="H783" s="39" t="str">
        <f>_xlfn.XLOOKUP(Table6[[#This Row],[Affected WTG]],'Basic Data'!$A:$A,'Basic Data'!$B:$B)</f>
        <v>PWEGPL</v>
      </c>
      <c r="I783" s="39" t="str">
        <f>_xlfn.XLOOKUP(Table6[[#This Row],[Affected WTG]],'Basic Data'!$A:$A,'Basic Data'!$C:$C)</f>
        <v>MSEDCL</v>
      </c>
      <c r="J783" s="363">
        <f>IFERROR(VLOOKUP(Table6[[#This Row],[Affected WTG]],'Basic Data'!$A$3:$E$56,5,0),"")</f>
        <v>2.564102564102564E-2</v>
      </c>
      <c r="K783" s="121" t="s">
        <v>492</v>
      </c>
      <c r="L783" s="39" t="str">
        <f>IFERROR(VLOOKUP(Table6[[#This Row],[Error Code]],'Basic Data'!$T:$U,2,0),"")</f>
        <v>Manual Stop - Safety Related</v>
      </c>
      <c r="M783" s="364" t="s">
        <v>481</v>
      </c>
      <c r="O783" s="346">
        <v>0</v>
      </c>
      <c r="P783" s="346">
        <v>0.99998842592592596</v>
      </c>
      <c r="Q783" s="346">
        <v>0.99998842592592596</v>
      </c>
      <c r="R783" s="366">
        <f>IF(Table6[[#This Row],[Work Start TimeStamp]]="","",(Table6[[#This Row],[Work Start TimeStamp]]-Table6[[#This Row],[Fault Start TimeStamp]])*24)</f>
        <v>23.999722222222225</v>
      </c>
      <c r="S783" s="377">
        <f>(Table6[[#This Row],[Fault Clearance time]]-Table6[[#This Row],[Work Start TimeStamp]])*24</f>
        <v>0</v>
      </c>
      <c r="T783" s="380">
        <f>(Table6[[#This Row],[Fault Clearance time]]-Table6[[#This Row],[Fault Start TimeStamp]])*24</f>
        <v>23.999722222222225</v>
      </c>
      <c r="U783" s="364" t="s">
        <v>498</v>
      </c>
      <c r="V783" s="364" t="s">
        <v>473</v>
      </c>
      <c r="W783" s="355">
        <f>Table6[[#This Row],[Breakdown Time]]*(1/39)</f>
        <v>0.61537749287749288</v>
      </c>
      <c r="X783" s="353" t="s">
        <v>468</v>
      </c>
      <c r="Y783" s="364" t="s">
        <v>141</v>
      </c>
      <c r="Z783" s="121">
        <v>7948</v>
      </c>
      <c r="AA783" s="123">
        <f>IFERROR((Table6[[#This Row],[Paired WTG Generation for loss calculation]]/24)*Table6[[#This Row],[Breakdown Time]],"")</f>
        <v>7947.9080092592603</v>
      </c>
      <c r="AB783" s="121" t="s">
        <v>478</v>
      </c>
    </row>
    <row r="784" spans="1:28">
      <c r="A784" s="121">
        <f t="shared" si="12"/>
        <v>783</v>
      </c>
      <c r="B784" s="379">
        <f>YEAR(Table6[[#This Row],[Date]])+IF(MONTH(Table6[[#This Row],[Date]])&gt;=4,1,0)</f>
        <v>2026</v>
      </c>
      <c r="C784" s="39">
        <f>YEAR(Table6[[#This Row],[Date]])</f>
        <v>2025</v>
      </c>
      <c r="D784" s="39" t="s">
        <v>490</v>
      </c>
      <c r="E784" s="135">
        <f>Table6[[#This Row],[Date]]-DAY(Table6[[#This Row],[Date]])+1</f>
        <v>45809</v>
      </c>
      <c r="F784" s="134">
        <v>45823</v>
      </c>
      <c r="G784" s="121" t="s">
        <v>142</v>
      </c>
      <c r="H784" s="39" t="str">
        <f>_xlfn.XLOOKUP(Table6[[#This Row],[Affected WTG]],'Basic Data'!$A:$A,'Basic Data'!$B:$B)</f>
        <v>PWEGPL</v>
      </c>
      <c r="I784" s="39" t="str">
        <f>_xlfn.XLOOKUP(Table6[[#This Row],[Affected WTG]],'Basic Data'!$A:$A,'Basic Data'!$C:$C)</f>
        <v>MSEDCL</v>
      </c>
      <c r="J784" s="363">
        <f>IFERROR(VLOOKUP(Table6[[#This Row],[Affected WTG]],'Basic Data'!$A$3:$E$56,5,0),"")</f>
        <v>2.564102564102564E-2</v>
      </c>
      <c r="K784" s="121" t="s">
        <v>492</v>
      </c>
      <c r="L784" s="39" t="str">
        <f>IFERROR(VLOOKUP(Table6[[#This Row],[Error Code]],'Basic Data'!$T:$U,2,0),"")</f>
        <v>Manual Stop - Safety Related</v>
      </c>
      <c r="M784" s="364" t="s">
        <v>481</v>
      </c>
      <c r="O784" s="346">
        <v>0</v>
      </c>
      <c r="P784" s="346">
        <v>0.99998842592592596</v>
      </c>
      <c r="Q784" s="346">
        <v>0.99998842592592596</v>
      </c>
      <c r="R784" s="366">
        <f>IF(Table6[[#This Row],[Work Start TimeStamp]]="","",(Table6[[#This Row],[Work Start TimeStamp]]-Table6[[#This Row],[Fault Start TimeStamp]])*24)</f>
        <v>23.999722222222225</v>
      </c>
      <c r="S784" s="377">
        <f>(Table6[[#This Row],[Fault Clearance time]]-Table6[[#This Row],[Work Start TimeStamp]])*24</f>
        <v>0</v>
      </c>
      <c r="T784" s="380">
        <f>(Table6[[#This Row],[Fault Clearance time]]-Table6[[#This Row],[Fault Start TimeStamp]])*24</f>
        <v>23.999722222222225</v>
      </c>
      <c r="U784" s="364" t="s">
        <v>498</v>
      </c>
      <c r="V784" s="364" t="s">
        <v>473</v>
      </c>
      <c r="W784" s="355">
        <f>Table6[[#This Row],[Breakdown Time]]*(1/39)</f>
        <v>0.61537749287749288</v>
      </c>
      <c r="X784" s="353" t="s">
        <v>468</v>
      </c>
      <c r="Y784" s="364" t="s">
        <v>141</v>
      </c>
      <c r="Z784" s="121">
        <v>7948</v>
      </c>
      <c r="AA784" s="123">
        <f>IFERROR((Table6[[#This Row],[Paired WTG Generation for loss calculation]]/24)*Table6[[#This Row],[Breakdown Time]],"")</f>
        <v>7947.9080092592603</v>
      </c>
      <c r="AB784" s="121" t="s">
        <v>478</v>
      </c>
    </row>
    <row r="785" spans="1:28">
      <c r="A785" s="121">
        <f t="shared" si="12"/>
        <v>784</v>
      </c>
      <c r="B785" s="379">
        <f>YEAR(Table6[[#This Row],[Date]])+IF(MONTH(Table6[[#This Row],[Date]])&gt;=4,1,0)</f>
        <v>2026</v>
      </c>
      <c r="C785" s="39">
        <f>YEAR(Table6[[#This Row],[Date]])</f>
        <v>2025</v>
      </c>
      <c r="D785" s="39" t="s">
        <v>490</v>
      </c>
      <c r="E785" s="135">
        <f>Table6[[#This Row],[Date]]-DAY(Table6[[#This Row],[Date]])+1</f>
        <v>45809</v>
      </c>
      <c r="F785" s="134">
        <v>45823</v>
      </c>
      <c r="G785" s="121" t="s">
        <v>131</v>
      </c>
      <c r="H785" s="39" t="str">
        <f>_xlfn.XLOOKUP(Table6[[#This Row],[Affected WTG]],'Basic Data'!$A:$A,'Basic Data'!$B:$B)</f>
        <v>PWEGPL</v>
      </c>
      <c r="I785" s="39" t="str">
        <f>_xlfn.XLOOKUP(Table6[[#This Row],[Affected WTG]],'Basic Data'!$A:$A,'Basic Data'!$C:$C)</f>
        <v>MSEDCL</v>
      </c>
      <c r="J785" s="363">
        <f>IFERROR(VLOOKUP(Table6[[#This Row],[Affected WTG]],'Basic Data'!$A$3:$E$56,5,0),"")</f>
        <v>2.564102564102564E-2</v>
      </c>
      <c r="K785" s="121">
        <v>5216</v>
      </c>
      <c r="L785" s="39" t="str">
        <f>IFERROR(VLOOKUP(Table6[[#This Row],[Error Code]],'Basic Data'!$T:$U,2,0),"")</f>
        <v>Grid Voltage Failure</v>
      </c>
      <c r="M785" s="364" t="s">
        <v>462</v>
      </c>
      <c r="O785" s="346">
        <v>0</v>
      </c>
      <c r="P785" s="346">
        <v>0.99998842592592596</v>
      </c>
      <c r="Q785" s="346">
        <v>0.99998842592592596</v>
      </c>
      <c r="R785" s="366">
        <f>IF(Table6[[#This Row],[Work Start TimeStamp]]="","",(Table6[[#This Row],[Work Start TimeStamp]]-Table6[[#This Row],[Fault Start TimeStamp]])*24)</f>
        <v>23.999722222222225</v>
      </c>
      <c r="S785" s="377">
        <f>(Table6[[#This Row],[Fault Clearance time]]-Table6[[#This Row],[Work Start TimeStamp]])*24</f>
        <v>0</v>
      </c>
      <c r="T785" s="380">
        <f>(Table6[[#This Row],[Fault Clearance time]]-Table6[[#This Row],[Fault Start TimeStamp]])*24</f>
        <v>23.999722222222225</v>
      </c>
      <c r="U785" s="364" t="s">
        <v>1247</v>
      </c>
      <c r="V785" s="364" t="s">
        <v>473</v>
      </c>
      <c r="W785" s="355">
        <f>Table6[[#This Row],[Breakdown Time]]*(1/39)</f>
        <v>0.61537749287749288</v>
      </c>
      <c r="X785" s="353" t="s">
        <v>465</v>
      </c>
      <c r="Y785" s="364" t="s">
        <v>132</v>
      </c>
      <c r="Z785" s="121">
        <v>7856</v>
      </c>
      <c r="AA785" s="123">
        <f>IFERROR((Table6[[#This Row],[Paired WTG Generation for loss calculation]]/24)*Table6[[#This Row],[Breakdown Time]],"")</f>
        <v>7855.9090740740749</v>
      </c>
      <c r="AB785" s="121" t="s">
        <v>1246</v>
      </c>
    </row>
    <row r="786" spans="1:28">
      <c r="A786" s="121">
        <f t="shared" si="12"/>
        <v>785</v>
      </c>
      <c r="B786" s="379">
        <f>YEAR(Table6[[#This Row],[Date]])+IF(MONTH(Table6[[#This Row],[Date]])&gt;=4,1,0)</f>
        <v>2026</v>
      </c>
      <c r="C786" s="39">
        <f>YEAR(Table6[[#This Row],[Date]])</f>
        <v>2025</v>
      </c>
      <c r="D786" s="39" t="s">
        <v>490</v>
      </c>
      <c r="E786" s="135">
        <f>Table6[[#This Row],[Date]]-DAY(Table6[[#This Row],[Date]])+1</f>
        <v>45809</v>
      </c>
      <c r="F786" s="134">
        <v>45823</v>
      </c>
      <c r="G786" s="121" t="s">
        <v>117</v>
      </c>
      <c r="H786" s="39" t="str">
        <f>_xlfn.XLOOKUP(Table6[[#This Row],[Affected WTG]],'Basic Data'!$A:$A,'Basic Data'!$B:$B)</f>
        <v>PWEGPL</v>
      </c>
      <c r="I786" s="39" t="str">
        <f>_xlfn.XLOOKUP(Table6[[#This Row],[Affected WTG]],'Basic Data'!$A:$A,'Basic Data'!$C:$C)</f>
        <v>MSEDCL</v>
      </c>
      <c r="J786" s="363">
        <f>IFERROR(VLOOKUP(Table6[[#This Row],[Affected WTG]],'Basic Data'!$A$3:$E$56,5,0),"")</f>
        <v>2.564102564102564E-2</v>
      </c>
      <c r="K786" s="121">
        <v>813</v>
      </c>
      <c r="L786" s="39" t="str">
        <f>IFERROR(VLOOKUP(Table6[[#This Row],[Error Code]],'Basic Data'!$T:$U,2,0),"")</f>
        <v>Low Pressure Of Emergency Accumulators</v>
      </c>
      <c r="M786" s="364" t="s">
        <v>462</v>
      </c>
      <c r="O786" s="346">
        <v>0.43263888888888891</v>
      </c>
      <c r="P786" s="346">
        <v>0.4826388888888889</v>
      </c>
      <c r="Q786" s="346">
        <v>0.55208333333333337</v>
      </c>
      <c r="R786" s="366">
        <f>IF(Table6[[#This Row],[Work Start TimeStamp]]="","",(Table6[[#This Row],[Work Start TimeStamp]]-Table6[[#This Row],[Fault Start TimeStamp]])*24)</f>
        <v>1.1999999999999997</v>
      </c>
      <c r="S786" s="377">
        <f>(Table6[[#This Row],[Fault Clearance time]]-Table6[[#This Row],[Work Start TimeStamp]])*24</f>
        <v>1.6666666666666674</v>
      </c>
      <c r="T786" s="380">
        <f>(Table6[[#This Row],[Fault Clearance time]]-Table6[[#This Row],[Fault Start TimeStamp]])*24</f>
        <v>2.8666666666666671</v>
      </c>
      <c r="U786" s="364" t="s">
        <v>1248</v>
      </c>
      <c r="V786" s="364" t="s">
        <v>463</v>
      </c>
      <c r="W786" s="355">
        <f>Table6[[#This Row],[Breakdown Time]]*(1/39)</f>
        <v>7.3504273504273521E-2</v>
      </c>
      <c r="X786" s="353" t="s">
        <v>465</v>
      </c>
      <c r="Y786" s="364" t="s">
        <v>118</v>
      </c>
      <c r="Z786" s="121">
        <v>8021</v>
      </c>
      <c r="AA786" s="123">
        <f>IFERROR((Table6[[#This Row],[Paired WTG Generation for loss calculation]]/24)*Table6[[#This Row],[Breakdown Time]],"")</f>
        <v>958.06388888888898</v>
      </c>
      <c r="AB786" s="121" t="s">
        <v>478</v>
      </c>
    </row>
    <row r="787" spans="1:28">
      <c r="A787" s="121">
        <f t="shared" si="12"/>
        <v>786</v>
      </c>
      <c r="B787" s="379">
        <f>YEAR(Table6[[#This Row],[Date]])+IF(MONTH(Table6[[#This Row],[Date]])&gt;=4,1,0)</f>
        <v>2026</v>
      </c>
      <c r="C787" s="39">
        <f>YEAR(Table6[[#This Row],[Date]])</f>
        <v>2025</v>
      </c>
      <c r="D787" s="39" t="s">
        <v>490</v>
      </c>
      <c r="E787" s="135">
        <f>Table6[[#This Row],[Date]]-DAY(Table6[[#This Row],[Date]])+1</f>
        <v>45809</v>
      </c>
      <c r="F787" s="134">
        <v>45823</v>
      </c>
      <c r="G787" s="121" t="s">
        <v>125</v>
      </c>
      <c r="H787" s="39" t="str">
        <f>_xlfn.XLOOKUP(Table6[[#This Row],[Affected WTG]],'Basic Data'!$A:$A,'Basic Data'!$B:$B)</f>
        <v>PWEGPL</v>
      </c>
      <c r="I787" s="39" t="str">
        <f>_xlfn.XLOOKUP(Table6[[#This Row],[Affected WTG]],'Basic Data'!$A:$A,'Basic Data'!$C:$C)</f>
        <v>MSEDCL</v>
      </c>
      <c r="J787" s="363">
        <f>IFERROR(VLOOKUP(Table6[[#This Row],[Affected WTG]],'Basic Data'!$A$3:$E$56,5,0),"")</f>
        <v>2.564102564102564E-2</v>
      </c>
      <c r="K787" s="121">
        <v>5228</v>
      </c>
      <c r="L787" s="39" t="str">
        <f>IFERROR(VLOOKUP(Table6[[#This Row],[Error Code]],'Basic Data'!$T:$U,2,0),"")</f>
        <v>Preload Failure</v>
      </c>
      <c r="M787" s="364" t="s">
        <v>462</v>
      </c>
      <c r="O787" s="346">
        <v>0.60902777777777772</v>
      </c>
      <c r="P787" s="346">
        <v>0.66666666666666663</v>
      </c>
      <c r="Q787" s="346">
        <v>0.69374999999999998</v>
      </c>
      <c r="R787" s="366">
        <f>IF(Table6[[#This Row],[Work Start TimeStamp]]="","",(Table6[[#This Row],[Work Start TimeStamp]]-Table6[[#This Row],[Fault Start TimeStamp]])*24)</f>
        <v>1.3833333333333337</v>
      </c>
      <c r="S787" s="377">
        <f>(Table6[[#This Row],[Fault Clearance time]]-Table6[[#This Row],[Work Start TimeStamp]])*24</f>
        <v>0.65000000000000036</v>
      </c>
      <c r="T787" s="380">
        <f>(Table6[[#This Row],[Fault Clearance time]]-Table6[[#This Row],[Fault Start TimeStamp]])*24</f>
        <v>2.0333333333333341</v>
      </c>
      <c r="U787" s="364" t="s">
        <v>1249</v>
      </c>
      <c r="V787" s="364" t="s">
        <v>463</v>
      </c>
      <c r="W787" s="355">
        <f>Table6[[#This Row],[Breakdown Time]]*(1/39)</f>
        <v>5.2136752136752153E-2</v>
      </c>
      <c r="X787" s="353" t="s">
        <v>465</v>
      </c>
      <c r="Y787" s="364" t="s">
        <v>124</v>
      </c>
      <c r="Z787" s="121">
        <v>8099</v>
      </c>
      <c r="AA787" s="123">
        <f>IFERROR((Table6[[#This Row],[Paired WTG Generation for loss calculation]]/24)*Table6[[#This Row],[Breakdown Time]],"")</f>
        <v>686.16527777777799</v>
      </c>
      <c r="AB787" s="121" t="s">
        <v>478</v>
      </c>
    </row>
    <row r="788" spans="1:28">
      <c r="A788" s="121">
        <f t="shared" si="12"/>
        <v>787</v>
      </c>
      <c r="B788" s="379">
        <f>YEAR(Table6[[#This Row],[Date]])+IF(MONTH(Table6[[#This Row],[Date]])&gt;=4,1,0)</f>
        <v>2026</v>
      </c>
      <c r="C788" s="39">
        <f>YEAR(Table6[[#This Row],[Date]])</f>
        <v>2025</v>
      </c>
      <c r="D788" s="39" t="s">
        <v>490</v>
      </c>
      <c r="E788" s="135">
        <f>Table6[[#This Row],[Date]]-DAY(Table6[[#This Row],[Date]])+1</f>
        <v>45809</v>
      </c>
      <c r="F788" s="134">
        <v>45823</v>
      </c>
      <c r="G788" s="121" t="s">
        <v>134</v>
      </c>
      <c r="H788" s="39" t="str">
        <f>_xlfn.XLOOKUP(Table6[[#This Row],[Affected WTG]],'Basic Data'!$A:$A,'Basic Data'!$B:$B)</f>
        <v>PWEGPL</v>
      </c>
      <c r="I788" s="39" t="str">
        <f>_xlfn.XLOOKUP(Table6[[#This Row],[Affected WTG]],'Basic Data'!$A:$A,'Basic Data'!$C:$C)</f>
        <v>MSEDCL</v>
      </c>
      <c r="J788" s="363">
        <f>IFERROR(VLOOKUP(Table6[[#This Row],[Affected WTG]],'Basic Data'!$A$3:$E$56,5,0),"")</f>
        <v>2.564102564102564E-2</v>
      </c>
      <c r="K788" s="121">
        <v>905</v>
      </c>
      <c r="L788" s="39" t="str">
        <f>IFERROR(VLOOKUP(Table6[[#This Row],[Error Code]],'Basic Data'!$T:$U,2,0),"")</f>
        <v>Controlled Emergency Series Battery Failure</v>
      </c>
      <c r="M788" s="364" t="s">
        <v>462</v>
      </c>
      <c r="O788" s="346">
        <v>0.42430555555555555</v>
      </c>
      <c r="P788" s="346">
        <v>0.45069444444444445</v>
      </c>
      <c r="Q788" s="346">
        <v>0.55694444444444446</v>
      </c>
      <c r="R788" s="366">
        <f>IF(Table6[[#This Row],[Work Start TimeStamp]]="","",(Table6[[#This Row],[Work Start TimeStamp]]-Table6[[#This Row],[Fault Start TimeStamp]])*24)</f>
        <v>0.63333333333333375</v>
      </c>
      <c r="S788" s="377">
        <f>(Table6[[#This Row],[Fault Clearance time]]-Table6[[#This Row],[Work Start TimeStamp]])*24</f>
        <v>2.5500000000000003</v>
      </c>
      <c r="T788" s="380">
        <f>(Table6[[#This Row],[Fault Clearance time]]-Table6[[#This Row],[Fault Start TimeStamp]])*24</f>
        <v>3.183333333333334</v>
      </c>
      <c r="U788" s="364" t="s">
        <v>1250</v>
      </c>
      <c r="V788" s="364" t="s">
        <v>463</v>
      </c>
      <c r="W788" s="355">
        <f>Table6[[#This Row],[Breakdown Time]]*(1/39)</f>
        <v>8.1623931623931639E-2</v>
      </c>
      <c r="X788" s="353" t="s">
        <v>465</v>
      </c>
      <c r="Y788" s="364" t="s">
        <v>133</v>
      </c>
      <c r="Z788" s="121">
        <v>7965</v>
      </c>
      <c r="AA788" s="123">
        <f>IFERROR((Table6[[#This Row],[Paired WTG Generation for loss calculation]]/24)*Table6[[#This Row],[Breakdown Time]],"")</f>
        <v>1056.4687500000002</v>
      </c>
      <c r="AB788" s="121" t="s">
        <v>478</v>
      </c>
    </row>
    <row r="789" spans="1:28">
      <c r="A789" s="121">
        <f t="shared" si="12"/>
        <v>788</v>
      </c>
      <c r="B789" s="379">
        <f>YEAR(Table6[[#This Row],[Date]])+IF(MONTH(Table6[[#This Row],[Date]])&gt;=4,1,0)</f>
        <v>2026</v>
      </c>
      <c r="C789" s="39">
        <f>YEAR(Table6[[#This Row],[Date]])</f>
        <v>2025</v>
      </c>
      <c r="D789" s="39" t="s">
        <v>490</v>
      </c>
      <c r="E789" s="135">
        <f>Table6[[#This Row],[Date]]-DAY(Table6[[#This Row],[Date]])+1</f>
        <v>45809</v>
      </c>
      <c r="F789" s="134">
        <v>45823</v>
      </c>
      <c r="G789" s="121" t="s">
        <v>119</v>
      </c>
      <c r="H789" s="39" t="str">
        <f>_xlfn.XLOOKUP(Table6[[#This Row],[Affected WTG]],'Basic Data'!$A:$A,'Basic Data'!$B:$B)</f>
        <v>PWEGPL</v>
      </c>
      <c r="I789" s="39" t="str">
        <f>_xlfn.XLOOKUP(Table6[[#This Row],[Affected WTG]],'Basic Data'!$A:$A,'Basic Data'!$C:$C)</f>
        <v>MSEDCL</v>
      </c>
      <c r="J789" s="363">
        <f>IFERROR(VLOOKUP(Table6[[#This Row],[Affected WTG]],'Basic Data'!$A$3:$E$56,5,0),"")</f>
        <v>2.564102564102564E-2</v>
      </c>
      <c r="K789" s="121">
        <v>5201</v>
      </c>
      <c r="L789" s="39" t="str">
        <f>IFERROR(VLOOKUP(Table6[[#This Row],[Error Code]],'Basic Data'!$T:$U,2,0),"")</f>
        <v>Magnetothermic Trigger Of The Stator Protection</v>
      </c>
      <c r="M789" s="364" t="s">
        <v>462</v>
      </c>
      <c r="O789" s="346">
        <v>0.42291666666666666</v>
      </c>
      <c r="P789" s="346">
        <v>0.43888888888888888</v>
      </c>
      <c r="Q789" s="346">
        <v>0.44097222222222221</v>
      </c>
      <c r="R789" s="366">
        <f>IF(Table6[[#This Row],[Work Start TimeStamp]]="","",(Table6[[#This Row],[Work Start TimeStamp]]-Table6[[#This Row],[Fault Start TimeStamp]])*24)</f>
        <v>0.3833333333333333</v>
      </c>
      <c r="S789" s="377">
        <f>(Table6[[#This Row],[Fault Clearance time]]-Table6[[#This Row],[Work Start TimeStamp]])*24</f>
        <v>4.9999999999999822E-2</v>
      </c>
      <c r="T789" s="380">
        <f>(Table6[[#This Row],[Fault Clearance time]]-Table6[[#This Row],[Fault Start TimeStamp]])*24</f>
        <v>0.43333333333333313</v>
      </c>
      <c r="U789" s="364" t="s">
        <v>493</v>
      </c>
      <c r="V789" s="364" t="s">
        <v>463</v>
      </c>
      <c r="W789" s="355">
        <f>Table6[[#This Row],[Breakdown Time]]*(1/39)</f>
        <v>1.1111111111111105E-2</v>
      </c>
      <c r="X789" s="353" t="s">
        <v>465</v>
      </c>
      <c r="Y789" s="364" t="s">
        <v>136</v>
      </c>
      <c r="Z789" s="121">
        <v>7878</v>
      </c>
      <c r="AA789" s="123">
        <f>IFERROR((Table6[[#This Row],[Paired WTG Generation for loss calculation]]/24)*Table6[[#This Row],[Breakdown Time]],"")</f>
        <v>142.24166666666659</v>
      </c>
      <c r="AB789" s="121" t="s">
        <v>478</v>
      </c>
    </row>
    <row r="790" spans="1:28">
      <c r="A790" s="121">
        <f t="shared" si="12"/>
        <v>789</v>
      </c>
      <c r="B790" s="379">
        <f>YEAR(Table6[[#This Row],[Date]])+IF(MONTH(Table6[[#This Row],[Date]])&gt;=4,1,0)</f>
        <v>2026</v>
      </c>
      <c r="C790" s="39">
        <f>YEAR(Table6[[#This Row],[Date]])</f>
        <v>2025</v>
      </c>
      <c r="D790" s="39" t="s">
        <v>490</v>
      </c>
      <c r="E790" s="135">
        <f>Table6[[#This Row],[Date]]-DAY(Table6[[#This Row],[Date]])+1</f>
        <v>45809</v>
      </c>
      <c r="F790" s="134">
        <v>45823</v>
      </c>
      <c r="G790" s="121" t="s">
        <v>134</v>
      </c>
      <c r="H790" s="39" t="str">
        <f>_xlfn.XLOOKUP(Table6[[#This Row],[Affected WTG]],'Basic Data'!$A:$A,'Basic Data'!$B:$B)</f>
        <v>PWEGPL</v>
      </c>
      <c r="I790" s="39" t="str">
        <f>_xlfn.XLOOKUP(Table6[[#This Row],[Affected WTG]],'Basic Data'!$A:$A,'Basic Data'!$C:$C)</f>
        <v>MSEDCL</v>
      </c>
      <c r="J790" s="363">
        <f>IFERROR(VLOOKUP(Table6[[#This Row],[Affected WTG]],'Basic Data'!$A$3:$E$56,5,0),"")</f>
        <v>2.564102564102564E-2</v>
      </c>
      <c r="K790" s="121">
        <v>5203</v>
      </c>
      <c r="L790" s="39" t="str">
        <f>IFERROR(VLOOKUP(Table6[[#This Row],[Error Code]],'Basic Data'!$T:$U,2,0),"")</f>
        <v>Heating/Coolant Thermal Magnetic Failure</v>
      </c>
      <c r="M790" s="364" t="s">
        <v>462</v>
      </c>
      <c r="O790" s="346">
        <v>2.4305555555555556E-2</v>
      </c>
      <c r="P790" s="346">
        <v>4.7222222222222221E-2</v>
      </c>
      <c r="Q790" s="346">
        <v>5.8333333333333334E-2</v>
      </c>
      <c r="R790" s="366">
        <f>IF(Table6[[#This Row],[Work Start TimeStamp]]="","",(Table6[[#This Row],[Work Start TimeStamp]]-Table6[[#This Row],[Fault Start TimeStamp]])*24)</f>
        <v>0.54999999999999993</v>
      </c>
      <c r="S790" s="377">
        <f>(Table6[[#This Row],[Fault Clearance time]]-Table6[[#This Row],[Work Start TimeStamp]])*24</f>
        <v>0.26666666666666672</v>
      </c>
      <c r="T790" s="380">
        <f>(Table6[[#This Row],[Fault Clearance time]]-Table6[[#This Row],[Fault Start TimeStamp]])*24</f>
        <v>0.81666666666666676</v>
      </c>
      <c r="U790" s="364" t="s">
        <v>1251</v>
      </c>
      <c r="V790" s="364" t="s">
        <v>463</v>
      </c>
      <c r="W790" s="355">
        <f>Table6[[#This Row],[Breakdown Time]]*(1/39)</f>
        <v>2.0940170940170942E-2</v>
      </c>
      <c r="X790" s="353" t="s">
        <v>465</v>
      </c>
      <c r="Y790" s="364" t="s">
        <v>133</v>
      </c>
      <c r="Z790" s="121">
        <v>7965</v>
      </c>
      <c r="AA790" s="123">
        <f>IFERROR((Table6[[#This Row],[Paired WTG Generation for loss calculation]]/24)*Table6[[#This Row],[Breakdown Time]],"")</f>
        <v>271.03125000000006</v>
      </c>
      <c r="AB790" s="121" t="s">
        <v>478</v>
      </c>
    </row>
    <row r="791" spans="1:28">
      <c r="A791" s="121">
        <f t="shared" si="12"/>
        <v>790</v>
      </c>
      <c r="B791" s="379">
        <f>YEAR(Table6[[#This Row],[Date]])+IF(MONTH(Table6[[#This Row],[Date]])&gt;=4,1,0)</f>
        <v>2026</v>
      </c>
      <c r="C791" s="39">
        <f>YEAR(Table6[[#This Row],[Date]])</f>
        <v>2025</v>
      </c>
      <c r="D791" s="39" t="s">
        <v>490</v>
      </c>
      <c r="E791" s="135">
        <f>Table6[[#This Row],[Date]]-DAY(Table6[[#This Row],[Date]])+1</f>
        <v>45809</v>
      </c>
      <c r="F791" s="134">
        <v>45824</v>
      </c>
      <c r="G791" s="121" t="s">
        <v>144</v>
      </c>
      <c r="H791" s="39" t="str">
        <f>_xlfn.XLOOKUP(Table6[[#This Row],[Affected WTG]],'Basic Data'!$A:$A,'Basic Data'!$B:$B)</f>
        <v>PWEGPL</v>
      </c>
      <c r="I791" s="39" t="str">
        <f>_xlfn.XLOOKUP(Table6[[#This Row],[Affected WTG]],'Basic Data'!$A:$A,'Basic Data'!$C:$C)</f>
        <v>MSEDCL</v>
      </c>
      <c r="J791" s="363">
        <f>IFERROR(VLOOKUP(Table6[[#This Row],[Affected WTG]],'Basic Data'!$A$3:$E$56,5,0),"")</f>
        <v>2.564102564102564E-2</v>
      </c>
      <c r="K791" s="121" t="s">
        <v>492</v>
      </c>
      <c r="L791" s="39" t="str">
        <f>IFERROR(VLOOKUP(Table6[[#This Row],[Error Code]],'Basic Data'!$T:$U,2,0),"")</f>
        <v>Manual Stop - Safety Related</v>
      </c>
      <c r="M791" s="364" t="s">
        <v>481</v>
      </c>
      <c r="O791" s="346">
        <v>0</v>
      </c>
      <c r="P791" s="346">
        <v>0.99998842592592596</v>
      </c>
      <c r="Q791" s="346">
        <v>0.99998842592592596</v>
      </c>
      <c r="R791" s="366">
        <f>IF(Table6[[#This Row],[Work Start TimeStamp]]="","",(Table6[[#This Row],[Work Start TimeStamp]]-Table6[[#This Row],[Fault Start TimeStamp]])*24)</f>
        <v>23.999722222222225</v>
      </c>
      <c r="S791" s="377">
        <f>(Table6[[#This Row],[Fault Clearance time]]-Table6[[#This Row],[Work Start TimeStamp]])*24</f>
        <v>0</v>
      </c>
      <c r="T791" s="380">
        <f>(Table6[[#This Row],[Fault Clearance time]]-Table6[[#This Row],[Fault Start TimeStamp]])*24</f>
        <v>23.999722222222225</v>
      </c>
      <c r="U791" s="364" t="s">
        <v>498</v>
      </c>
      <c r="V791" s="364" t="s">
        <v>473</v>
      </c>
      <c r="W791" s="355">
        <f>Table6[[#This Row],[Breakdown Time]]*(1/39)</f>
        <v>0.61537749287749288</v>
      </c>
      <c r="X791" s="353" t="s">
        <v>468</v>
      </c>
      <c r="Y791" s="364" t="s">
        <v>143</v>
      </c>
      <c r="Z791" s="121">
        <v>20213</v>
      </c>
      <c r="AA791" s="123">
        <f>IFERROR((Table6[[#This Row],[Paired WTG Generation for loss calculation]]/24)*Table6[[#This Row],[Breakdown Time]],"")</f>
        <v>20212.766053240743</v>
      </c>
      <c r="AB791" s="121" t="s">
        <v>478</v>
      </c>
    </row>
    <row r="792" spans="1:28">
      <c r="A792" s="121">
        <f t="shared" si="12"/>
        <v>791</v>
      </c>
      <c r="B792" s="379">
        <f>YEAR(Table6[[#This Row],[Date]])+IF(MONTH(Table6[[#This Row],[Date]])&gt;=4,1,0)</f>
        <v>2026</v>
      </c>
      <c r="C792" s="39">
        <f>YEAR(Table6[[#This Row],[Date]])</f>
        <v>2025</v>
      </c>
      <c r="D792" s="39" t="s">
        <v>490</v>
      </c>
      <c r="E792" s="135">
        <f>Table6[[#This Row],[Date]]-DAY(Table6[[#This Row],[Date]])+1</f>
        <v>45809</v>
      </c>
      <c r="F792" s="134">
        <v>45824</v>
      </c>
      <c r="G792" s="121" t="s">
        <v>142</v>
      </c>
      <c r="H792" s="39" t="str">
        <f>_xlfn.XLOOKUP(Table6[[#This Row],[Affected WTG]],'Basic Data'!$A:$A,'Basic Data'!$B:$B)</f>
        <v>PWEGPL</v>
      </c>
      <c r="I792" s="39" t="str">
        <f>_xlfn.XLOOKUP(Table6[[#This Row],[Affected WTG]],'Basic Data'!$A:$A,'Basic Data'!$C:$C)</f>
        <v>MSEDCL</v>
      </c>
      <c r="J792" s="363">
        <f>IFERROR(VLOOKUP(Table6[[#This Row],[Affected WTG]],'Basic Data'!$A$3:$E$56,5,0),"")</f>
        <v>2.564102564102564E-2</v>
      </c>
      <c r="K792" s="121" t="s">
        <v>492</v>
      </c>
      <c r="L792" s="39" t="str">
        <f>IFERROR(VLOOKUP(Table6[[#This Row],[Error Code]],'Basic Data'!$T:$U,2,0),"")</f>
        <v>Manual Stop - Safety Related</v>
      </c>
      <c r="M792" s="364" t="s">
        <v>481</v>
      </c>
      <c r="O792" s="346">
        <v>0</v>
      </c>
      <c r="P792" s="346">
        <v>0.99998842592592596</v>
      </c>
      <c r="Q792" s="346">
        <v>0.99998842592592596</v>
      </c>
      <c r="R792" s="366">
        <f>IF(Table6[[#This Row],[Work Start TimeStamp]]="","",(Table6[[#This Row],[Work Start TimeStamp]]-Table6[[#This Row],[Fault Start TimeStamp]])*24)</f>
        <v>23.999722222222225</v>
      </c>
      <c r="S792" s="377">
        <f>(Table6[[#This Row],[Fault Clearance time]]-Table6[[#This Row],[Work Start TimeStamp]])*24</f>
        <v>0</v>
      </c>
      <c r="T792" s="380">
        <f>(Table6[[#This Row],[Fault Clearance time]]-Table6[[#This Row],[Fault Start TimeStamp]])*24</f>
        <v>23.999722222222225</v>
      </c>
      <c r="U792" s="364" t="s">
        <v>498</v>
      </c>
      <c r="V792" s="364" t="s">
        <v>473</v>
      </c>
      <c r="W792" s="355">
        <f>Table6[[#This Row],[Breakdown Time]]*(1/39)</f>
        <v>0.61537749287749288</v>
      </c>
      <c r="X792" s="353" t="s">
        <v>468</v>
      </c>
      <c r="Y792" s="364" t="s">
        <v>143</v>
      </c>
      <c r="Z792" s="121">
        <v>20213</v>
      </c>
      <c r="AA792" s="123">
        <f>IFERROR((Table6[[#This Row],[Paired WTG Generation for loss calculation]]/24)*Table6[[#This Row],[Breakdown Time]],"")</f>
        <v>20212.766053240743</v>
      </c>
      <c r="AB792" s="121" t="s">
        <v>478</v>
      </c>
    </row>
    <row r="793" spans="1:28">
      <c r="A793" s="121">
        <f t="shared" si="12"/>
        <v>792</v>
      </c>
      <c r="B793" s="379">
        <f>YEAR(Table6[[#This Row],[Date]])+IF(MONTH(Table6[[#This Row],[Date]])&gt;=4,1,0)</f>
        <v>2026</v>
      </c>
      <c r="C793" s="39">
        <f>YEAR(Table6[[#This Row],[Date]])</f>
        <v>2025</v>
      </c>
      <c r="D793" s="39" t="s">
        <v>490</v>
      </c>
      <c r="E793" s="135">
        <f>Table6[[#This Row],[Date]]-DAY(Table6[[#This Row],[Date]])+1</f>
        <v>45809</v>
      </c>
      <c r="F793" s="134">
        <v>45824</v>
      </c>
      <c r="G793" s="121" t="s">
        <v>131</v>
      </c>
      <c r="H793" s="39" t="str">
        <f>_xlfn.XLOOKUP(Table6[[#This Row],[Affected WTG]],'Basic Data'!$A:$A,'Basic Data'!$B:$B)</f>
        <v>PWEGPL</v>
      </c>
      <c r="I793" s="39" t="str">
        <f>_xlfn.XLOOKUP(Table6[[#This Row],[Affected WTG]],'Basic Data'!$A:$A,'Basic Data'!$C:$C)</f>
        <v>MSEDCL</v>
      </c>
      <c r="J793" s="363">
        <f>IFERROR(VLOOKUP(Table6[[#This Row],[Affected WTG]],'Basic Data'!$A$3:$E$56,5,0),"")</f>
        <v>2.564102564102564E-2</v>
      </c>
      <c r="K793" s="121">
        <v>5216</v>
      </c>
      <c r="L793" s="39" t="str">
        <f>IFERROR(VLOOKUP(Table6[[#This Row],[Error Code]],'Basic Data'!$T:$U,2,0),"")</f>
        <v>Grid Voltage Failure</v>
      </c>
      <c r="M793" s="364" t="s">
        <v>462</v>
      </c>
      <c r="O793" s="346">
        <v>0</v>
      </c>
      <c r="P793" s="346">
        <v>0.99998842592592596</v>
      </c>
      <c r="Q793" s="346">
        <v>0.99998842592592596</v>
      </c>
      <c r="R793" s="366">
        <f>IF(Table6[[#This Row],[Work Start TimeStamp]]="","",(Table6[[#This Row],[Work Start TimeStamp]]-Table6[[#This Row],[Fault Start TimeStamp]])*24)</f>
        <v>23.999722222222225</v>
      </c>
      <c r="S793" s="377">
        <f>(Table6[[#This Row],[Fault Clearance time]]-Table6[[#This Row],[Work Start TimeStamp]])*24</f>
        <v>0</v>
      </c>
      <c r="T793" s="380">
        <f>(Table6[[#This Row],[Fault Clearance time]]-Table6[[#This Row],[Fault Start TimeStamp]])*24</f>
        <v>23.999722222222225</v>
      </c>
      <c r="U793" s="364" t="s">
        <v>1247</v>
      </c>
      <c r="V793" s="364" t="s">
        <v>473</v>
      </c>
      <c r="W793" s="355">
        <f>Table6[[#This Row],[Breakdown Time]]*(1/39)</f>
        <v>0.61537749287749288</v>
      </c>
      <c r="X793" s="353" t="s">
        <v>465</v>
      </c>
      <c r="Y793" s="364" t="s">
        <v>130</v>
      </c>
      <c r="Z793" s="121">
        <v>21923</v>
      </c>
      <c r="AA793" s="123">
        <f>IFERROR((Table6[[#This Row],[Paired WTG Generation for loss calculation]]/24)*Table6[[#This Row],[Breakdown Time]],"")</f>
        <v>21922.746261574077</v>
      </c>
      <c r="AB793" s="121" t="s">
        <v>1246</v>
      </c>
    </row>
    <row r="794" spans="1:28">
      <c r="A794" s="121">
        <f t="shared" si="12"/>
        <v>793</v>
      </c>
      <c r="B794" s="379">
        <f>YEAR(Table6[[#This Row],[Date]])+IF(MONTH(Table6[[#This Row],[Date]])&gt;=4,1,0)</f>
        <v>2026</v>
      </c>
      <c r="C794" s="39">
        <f>YEAR(Table6[[#This Row],[Date]])</f>
        <v>2025</v>
      </c>
      <c r="D794" s="39" t="s">
        <v>490</v>
      </c>
      <c r="E794" s="135">
        <f>Table6[[#This Row],[Date]]-DAY(Table6[[#This Row],[Date]])+1</f>
        <v>45809</v>
      </c>
      <c r="F794" s="134">
        <v>45824</v>
      </c>
      <c r="G794" s="121" t="s">
        <v>117</v>
      </c>
      <c r="H794" s="39" t="str">
        <f>_xlfn.XLOOKUP(Table6[[#This Row],[Affected WTG]],'Basic Data'!$A:$A,'Basic Data'!$B:$B)</f>
        <v>PWEGPL</v>
      </c>
      <c r="I794" s="39" t="str">
        <f>_xlfn.XLOOKUP(Table6[[#This Row],[Affected WTG]],'Basic Data'!$A:$A,'Basic Data'!$C:$C)</f>
        <v>MSEDCL</v>
      </c>
      <c r="J794" s="363">
        <f>IFERROR(VLOOKUP(Table6[[#This Row],[Affected WTG]],'Basic Data'!$A$3:$E$56,5,0),"")</f>
        <v>2.564102564102564E-2</v>
      </c>
      <c r="K794" s="121">
        <v>2118</v>
      </c>
      <c r="L794" s="39" t="str">
        <f>IFERROR(VLOOKUP(Table6[[#This Row],[Error Code]],'Basic Data'!$T:$U,2,0),"")</f>
        <v>Bus Error - Interbus Failure</v>
      </c>
      <c r="M794" s="364" t="s">
        <v>462</v>
      </c>
      <c r="O794" s="346">
        <v>0.125</v>
      </c>
      <c r="P794" s="346">
        <v>0.13333333333333333</v>
      </c>
      <c r="Q794" s="346">
        <v>0.15277777777777779</v>
      </c>
      <c r="R794" s="366">
        <f>IF(Table6[[#This Row],[Work Start TimeStamp]]="","",(Table6[[#This Row],[Work Start TimeStamp]]-Table6[[#This Row],[Fault Start TimeStamp]])*24)</f>
        <v>0.19999999999999996</v>
      </c>
      <c r="S794" s="377">
        <f>(Table6[[#This Row],[Fault Clearance time]]-Table6[[#This Row],[Work Start TimeStamp]])*24</f>
        <v>0.46666666666666701</v>
      </c>
      <c r="T794" s="380">
        <f>(Table6[[#This Row],[Fault Clearance time]]-Table6[[#This Row],[Fault Start TimeStamp]])*24</f>
        <v>0.66666666666666696</v>
      </c>
      <c r="U794" s="364" t="s">
        <v>1252</v>
      </c>
      <c r="V794" s="364" t="s">
        <v>463</v>
      </c>
      <c r="W794" s="355">
        <f>Table6[[#This Row],[Breakdown Time]]*(1/39)</f>
        <v>1.7094017094017103E-2</v>
      </c>
      <c r="X794" s="353" t="s">
        <v>465</v>
      </c>
      <c r="Y794" s="364" t="s">
        <v>120</v>
      </c>
      <c r="Z794" s="121">
        <v>21400</v>
      </c>
      <c r="AA794" s="123">
        <f>IFERROR((Table6[[#This Row],[Paired WTG Generation for loss calculation]]/24)*Table6[[#This Row],[Breakdown Time]],"")</f>
        <v>594.44444444444468</v>
      </c>
      <c r="AB794" s="121" t="s">
        <v>478</v>
      </c>
    </row>
    <row r="795" spans="1:28">
      <c r="A795" s="121">
        <f t="shared" si="12"/>
        <v>794</v>
      </c>
      <c r="B795" s="379">
        <f>YEAR(Table6[[#This Row],[Date]])+IF(MONTH(Table6[[#This Row],[Date]])&gt;=4,1,0)</f>
        <v>2026</v>
      </c>
      <c r="C795" s="39">
        <f>YEAR(Table6[[#This Row],[Date]])</f>
        <v>2025</v>
      </c>
      <c r="D795" s="39" t="s">
        <v>490</v>
      </c>
      <c r="E795" s="135">
        <f>Table6[[#This Row],[Date]]-DAY(Table6[[#This Row],[Date]])+1</f>
        <v>45809</v>
      </c>
      <c r="F795" s="134">
        <v>45824</v>
      </c>
      <c r="G795" s="121" t="s">
        <v>141</v>
      </c>
      <c r="H795" s="39" t="str">
        <f>_xlfn.XLOOKUP(Table6[[#This Row],[Affected WTG]],'Basic Data'!$A:$A,'Basic Data'!$B:$B)</f>
        <v>PWEGPL</v>
      </c>
      <c r="I795" s="39" t="str">
        <f>_xlfn.XLOOKUP(Table6[[#This Row],[Affected WTG]],'Basic Data'!$A:$A,'Basic Data'!$C:$C)</f>
        <v>MSEDCL</v>
      </c>
      <c r="J795" s="363">
        <f>IFERROR(VLOOKUP(Table6[[#This Row],[Affected WTG]],'Basic Data'!$A$3:$E$56,5,0),"")</f>
        <v>2.564102564102564E-2</v>
      </c>
      <c r="K795" s="121">
        <v>523</v>
      </c>
      <c r="L795" s="39" t="str">
        <f>IFERROR(VLOOKUP(Table6[[#This Row],[Error Code]],'Basic Data'!$T:$U,2,0),"")</f>
        <v>High Temperature Of Coolant In The Input Of The Cooling Circuit</v>
      </c>
      <c r="M795" s="364" t="s">
        <v>462</v>
      </c>
      <c r="O795" s="346">
        <v>0.46805555555555556</v>
      </c>
      <c r="P795" s="346">
        <v>0.48541666666666666</v>
      </c>
      <c r="Q795" s="346">
        <v>0.53541666666666665</v>
      </c>
      <c r="R795" s="366">
        <f>IF(Table6[[#This Row],[Work Start TimeStamp]]="","",(Table6[[#This Row],[Work Start TimeStamp]]-Table6[[#This Row],[Fault Start TimeStamp]])*24)</f>
        <v>0.41666666666666652</v>
      </c>
      <c r="S795" s="377">
        <f>(Table6[[#This Row],[Fault Clearance time]]-Table6[[#This Row],[Work Start TimeStamp]])*24</f>
        <v>1.1999999999999997</v>
      </c>
      <c r="T795" s="380">
        <f>(Table6[[#This Row],[Fault Clearance time]]-Table6[[#This Row],[Fault Start TimeStamp]])*24</f>
        <v>1.6166666666666663</v>
      </c>
      <c r="U795" s="364" t="s">
        <v>1253</v>
      </c>
      <c r="V795" s="364" t="s">
        <v>463</v>
      </c>
      <c r="W795" s="355">
        <f>Table6[[#This Row],[Breakdown Time]]*(1/39)</f>
        <v>4.1452991452991438E-2</v>
      </c>
      <c r="X795" s="353" t="s">
        <v>465</v>
      </c>
      <c r="Y795" s="364" t="s">
        <v>143</v>
      </c>
      <c r="Z795" s="121">
        <v>20213</v>
      </c>
      <c r="AA795" s="123">
        <f>IFERROR((Table6[[#This Row],[Paired WTG Generation for loss calculation]]/24)*Table6[[#This Row],[Breakdown Time]],"")</f>
        <v>1361.5701388888886</v>
      </c>
      <c r="AB795" s="121" t="s">
        <v>478</v>
      </c>
    </row>
    <row r="796" spans="1:28">
      <c r="A796" s="121">
        <f t="shared" si="12"/>
        <v>795</v>
      </c>
      <c r="B796" s="379">
        <f>YEAR(Table6[[#This Row],[Date]])+IF(MONTH(Table6[[#This Row],[Date]])&gt;=4,1,0)</f>
        <v>2026</v>
      </c>
      <c r="C796" s="39">
        <f>YEAR(Table6[[#This Row],[Date]])</f>
        <v>2025</v>
      </c>
      <c r="D796" s="39" t="s">
        <v>490</v>
      </c>
      <c r="E796" s="135">
        <f>Table6[[#This Row],[Date]]-DAY(Table6[[#This Row],[Date]])+1</f>
        <v>45809</v>
      </c>
      <c r="F796" s="134">
        <v>45824</v>
      </c>
      <c r="G796" s="121" t="s">
        <v>118</v>
      </c>
      <c r="H796" s="39" t="str">
        <f>_xlfn.XLOOKUP(Table6[[#This Row],[Affected WTG]],'Basic Data'!$A:$A,'Basic Data'!$B:$B)</f>
        <v>PWEGPL</v>
      </c>
      <c r="I796" s="39" t="str">
        <f>_xlfn.XLOOKUP(Table6[[#This Row],[Affected WTG]],'Basic Data'!$A:$A,'Basic Data'!$C:$C)</f>
        <v>MSEDCL</v>
      </c>
      <c r="J796" s="363">
        <f>IFERROR(VLOOKUP(Table6[[#This Row],[Affected WTG]],'Basic Data'!$A$3:$E$56,5,0),"")</f>
        <v>2.564102564102564E-2</v>
      </c>
      <c r="K796" s="121">
        <v>2118</v>
      </c>
      <c r="L796" s="39" t="str">
        <f>IFERROR(VLOOKUP(Table6[[#This Row],[Error Code]],'Basic Data'!$T:$U,2,0),"")</f>
        <v>Bus Error - Interbus Failure</v>
      </c>
      <c r="M796" s="364" t="s">
        <v>462</v>
      </c>
      <c r="O796" s="346">
        <v>0.44791666666666669</v>
      </c>
      <c r="P796" s="346">
        <v>0.46666666666666667</v>
      </c>
      <c r="Q796" s="346">
        <v>0.50347222222222221</v>
      </c>
      <c r="R796" s="366">
        <f>IF(Table6[[#This Row],[Work Start TimeStamp]]="","",(Table6[[#This Row],[Work Start TimeStamp]]-Table6[[#This Row],[Fault Start TimeStamp]])*24)</f>
        <v>0.44999999999999973</v>
      </c>
      <c r="S796" s="377">
        <f>(Table6[[#This Row],[Fault Clearance time]]-Table6[[#This Row],[Work Start TimeStamp]])*24</f>
        <v>0.88333333333333286</v>
      </c>
      <c r="T796" s="380">
        <f>(Table6[[#This Row],[Fault Clearance time]]-Table6[[#This Row],[Fault Start TimeStamp]])*24</f>
        <v>1.3333333333333326</v>
      </c>
      <c r="U796" s="364" t="s">
        <v>1244</v>
      </c>
      <c r="V796" s="364" t="s">
        <v>463</v>
      </c>
      <c r="W796" s="355">
        <f>Table6[[#This Row],[Breakdown Time]]*(1/39)</f>
        <v>3.4188034188034171E-2</v>
      </c>
      <c r="X796" s="353" t="s">
        <v>465</v>
      </c>
      <c r="Y796" s="364" t="s">
        <v>120</v>
      </c>
      <c r="Z796" s="121">
        <v>21400</v>
      </c>
      <c r="AA796" s="123">
        <f>IFERROR((Table6[[#This Row],[Paired WTG Generation for loss calculation]]/24)*Table6[[#This Row],[Breakdown Time]],"")</f>
        <v>1188.8888888888882</v>
      </c>
      <c r="AB796" s="121" t="s">
        <v>478</v>
      </c>
    </row>
    <row r="797" spans="1:28">
      <c r="A797" s="121">
        <f t="shared" si="12"/>
        <v>796</v>
      </c>
      <c r="B797" s="379">
        <f>YEAR(Table6[[#This Row],[Date]])+IF(MONTH(Table6[[#This Row],[Date]])&gt;=4,1,0)</f>
        <v>2026</v>
      </c>
      <c r="C797" s="39">
        <f>YEAR(Table6[[#This Row],[Date]])</f>
        <v>2025</v>
      </c>
      <c r="D797" s="39" t="s">
        <v>490</v>
      </c>
      <c r="E797" s="135">
        <f>Table6[[#This Row],[Date]]-DAY(Table6[[#This Row],[Date]])+1</f>
        <v>45809</v>
      </c>
      <c r="F797" s="134">
        <v>45824</v>
      </c>
      <c r="G797" s="121" t="s">
        <v>135</v>
      </c>
      <c r="H797" s="39" t="str">
        <f>_xlfn.XLOOKUP(Table6[[#This Row],[Affected WTG]],'Basic Data'!$A:$A,'Basic Data'!$B:$B)</f>
        <v>PWEGPL</v>
      </c>
      <c r="I797" s="39" t="str">
        <f>_xlfn.XLOOKUP(Table6[[#This Row],[Affected WTG]],'Basic Data'!$A:$A,'Basic Data'!$C:$C)</f>
        <v>MSEDCL</v>
      </c>
      <c r="J797" s="363">
        <f>IFERROR(VLOOKUP(Table6[[#This Row],[Affected WTG]],'Basic Data'!$A$3:$E$56,5,0),"")</f>
        <v>2.564102564102564E-2</v>
      </c>
      <c r="K797" s="121">
        <v>2100</v>
      </c>
      <c r="L797" s="39" t="str">
        <f>IFERROR(VLOOKUP(Table6[[#This Row],[Error Code]],'Basic Data'!$T:$U,2,0),"")</f>
        <v>PLC Voltage Recovery</v>
      </c>
      <c r="M797" s="364" t="s">
        <v>462</v>
      </c>
      <c r="O797" s="346">
        <v>0.27638888888888891</v>
      </c>
      <c r="P797" s="346">
        <v>0.2902777777777778</v>
      </c>
      <c r="Q797" s="346">
        <v>0.29097222222222224</v>
      </c>
      <c r="R797" s="366">
        <f>IF(Table6[[#This Row],[Work Start TimeStamp]]="","",(Table6[[#This Row],[Work Start TimeStamp]]-Table6[[#This Row],[Fault Start TimeStamp]])*24)</f>
        <v>0.33333333333333348</v>
      </c>
      <c r="S797" s="377">
        <f>(Table6[[#This Row],[Fault Clearance time]]-Table6[[#This Row],[Work Start TimeStamp]])*24</f>
        <v>1.6666666666666607E-2</v>
      </c>
      <c r="T797" s="380">
        <f>(Table6[[#This Row],[Fault Clearance time]]-Table6[[#This Row],[Fault Start TimeStamp]])*24</f>
        <v>0.35000000000000009</v>
      </c>
      <c r="U797" s="364" t="s">
        <v>493</v>
      </c>
      <c r="V797" s="364" t="s">
        <v>463</v>
      </c>
      <c r="W797" s="355">
        <f>Table6[[#This Row],[Breakdown Time]]*(1/39)</f>
        <v>8.9743589743589772E-3</v>
      </c>
      <c r="X797" s="353" t="s">
        <v>465</v>
      </c>
      <c r="Y797" s="364" t="s">
        <v>136</v>
      </c>
      <c r="Z797" s="121">
        <v>22189</v>
      </c>
      <c r="AA797" s="123">
        <f>IFERROR((Table6[[#This Row],[Paired WTG Generation for loss calculation]]/24)*Table6[[#This Row],[Breakdown Time]],"")</f>
        <v>323.58958333333339</v>
      </c>
      <c r="AB797" s="121" t="s">
        <v>478</v>
      </c>
    </row>
    <row r="798" spans="1:28">
      <c r="A798" s="121">
        <f t="shared" si="12"/>
        <v>797</v>
      </c>
      <c r="B798" s="379">
        <f>YEAR(Table6[[#This Row],[Date]])+IF(MONTH(Table6[[#This Row],[Date]])&gt;=4,1,0)</f>
        <v>2026</v>
      </c>
      <c r="C798" s="39">
        <f>YEAR(Table6[[#This Row],[Date]])</f>
        <v>2025</v>
      </c>
      <c r="D798" s="39" t="s">
        <v>490</v>
      </c>
      <c r="E798" s="135">
        <f>Table6[[#This Row],[Date]]-DAY(Table6[[#This Row],[Date]])+1</f>
        <v>45809</v>
      </c>
      <c r="F798" s="134">
        <v>45824</v>
      </c>
      <c r="G798" s="121" t="s">
        <v>137</v>
      </c>
      <c r="H798" s="39" t="str">
        <f>_xlfn.XLOOKUP(Table6[[#This Row],[Affected WTG]],'Basic Data'!$A:$A,'Basic Data'!$B:$B)</f>
        <v>PWEGPL</v>
      </c>
      <c r="I798" s="39" t="str">
        <f>_xlfn.XLOOKUP(Table6[[#This Row],[Affected WTG]],'Basic Data'!$A:$A,'Basic Data'!$C:$C)</f>
        <v>MSEDCL</v>
      </c>
      <c r="J798" s="363">
        <f>IFERROR(VLOOKUP(Table6[[#This Row],[Affected WTG]],'Basic Data'!$A$3:$E$56,5,0),"")</f>
        <v>2.564102564102564E-2</v>
      </c>
      <c r="K798" s="121">
        <v>2100</v>
      </c>
      <c r="L798" s="39" t="str">
        <f>IFERROR(VLOOKUP(Table6[[#This Row],[Error Code]],'Basic Data'!$T:$U,2,0),"")</f>
        <v>PLC Voltage Recovery</v>
      </c>
      <c r="M798" s="364" t="s">
        <v>462</v>
      </c>
      <c r="O798" s="346">
        <v>0.27638888888888891</v>
      </c>
      <c r="P798" s="346">
        <v>0.2951388888888889</v>
      </c>
      <c r="Q798" s="346">
        <v>0.29583333333333334</v>
      </c>
      <c r="R798" s="366">
        <f>IF(Table6[[#This Row],[Work Start TimeStamp]]="","",(Table6[[#This Row],[Work Start TimeStamp]]-Table6[[#This Row],[Fault Start TimeStamp]])*24)</f>
        <v>0.44999999999999973</v>
      </c>
      <c r="S798" s="377">
        <f>(Table6[[#This Row],[Fault Clearance time]]-Table6[[#This Row],[Work Start TimeStamp]])*24</f>
        <v>1.6666666666666607E-2</v>
      </c>
      <c r="T798" s="380">
        <f>(Table6[[#This Row],[Fault Clearance time]]-Table6[[#This Row],[Fault Start TimeStamp]])*24</f>
        <v>0.46666666666666634</v>
      </c>
      <c r="U798" s="364" t="s">
        <v>493</v>
      </c>
      <c r="V798" s="364" t="s">
        <v>463</v>
      </c>
      <c r="W798" s="355">
        <f>Table6[[#This Row],[Breakdown Time]]*(1/39)</f>
        <v>1.1965811965811956E-2</v>
      </c>
      <c r="X798" s="353" t="s">
        <v>465</v>
      </c>
      <c r="Y798" s="364" t="s">
        <v>136</v>
      </c>
      <c r="Z798" s="121">
        <v>22189</v>
      </c>
      <c r="AA798" s="123">
        <f>IFERROR((Table6[[#This Row],[Paired WTG Generation for loss calculation]]/24)*Table6[[#This Row],[Breakdown Time]],"")</f>
        <v>431.45277777777744</v>
      </c>
      <c r="AB798" s="121" t="s">
        <v>478</v>
      </c>
    </row>
    <row r="799" spans="1:28">
      <c r="A799" s="121">
        <f t="shared" si="12"/>
        <v>798</v>
      </c>
      <c r="B799" s="379">
        <f>YEAR(Table6[[#This Row],[Date]])+IF(MONTH(Table6[[#This Row],[Date]])&gt;=4,1,0)</f>
        <v>2026</v>
      </c>
      <c r="C799" s="39">
        <f>YEAR(Table6[[#This Row],[Date]])</f>
        <v>2025</v>
      </c>
      <c r="D799" s="39" t="s">
        <v>490</v>
      </c>
      <c r="E799" s="135">
        <f>Table6[[#This Row],[Date]]-DAY(Table6[[#This Row],[Date]])+1</f>
        <v>45809</v>
      </c>
      <c r="F799" s="134">
        <v>45825</v>
      </c>
      <c r="G799" s="121" t="s">
        <v>144</v>
      </c>
      <c r="H799" s="39" t="str">
        <f>_xlfn.XLOOKUP(Table6[[#This Row],[Affected WTG]],'Basic Data'!$A:$A,'Basic Data'!$B:$B)</f>
        <v>PWEGPL</v>
      </c>
      <c r="I799" s="39" t="str">
        <f>_xlfn.XLOOKUP(Table6[[#This Row],[Affected WTG]],'Basic Data'!$A:$A,'Basic Data'!$C:$C)</f>
        <v>MSEDCL</v>
      </c>
      <c r="J799" s="363">
        <f>IFERROR(VLOOKUP(Table6[[#This Row],[Affected WTG]],'Basic Data'!$A$3:$E$56,5,0),"")</f>
        <v>2.564102564102564E-2</v>
      </c>
      <c r="K799" s="121" t="s">
        <v>492</v>
      </c>
      <c r="L799" s="39" t="str">
        <f>IFERROR(VLOOKUP(Table6[[#This Row],[Error Code]],'Basic Data'!$T:$U,2,0),"")</f>
        <v>Manual Stop - Safety Related</v>
      </c>
      <c r="M799" s="364" t="s">
        <v>481</v>
      </c>
      <c r="O799" s="346">
        <v>0</v>
      </c>
      <c r="P799" s="346">
        <v>0.99998842592592596</v>
      </c>
      <c r="Q799" s="346">
        <v>0.99998842592592596</v>
      </c>
      <c r="R799" s="366">
        <f>IF(Table6[[#This Row],[Work Start TimeStamp]]="","",(Table6[[#This Row],[Work Start TimeStamp]]-Table6[[#This Row],[Fault Start TimeStamp]])*24)</f>
        <v>23.999722222222225</v>
      </c>
      <c r="S799" s="377">
        <f>(Table6[[#This Row],[Fault Clearance time]]-Table6[[#This Row],[Work Start TimeStamp]])*24</f>
        <v>0</v>
      </c>
      <c r="T799" s="380">
        <f>(Table6[[#This Row],[Fault Clearance time]]-Table6[[#This Row],[Fault Start TimeStamp]])*24</f>
        <v>23.999722222222225</v>
      </c>
      <c r="U799" s="364" t="s">
        <v>498</v>
      </c>
      <c r="V799" s="364" t="s">
        <v>473</v>
      </c>
      <c r="W799" s="355">
        <f>Table6[[#This Row],[Breakdown Time]]*(1/39)</f>
        <v>0.61537749287749288</v>
      </c>
      <c r="X799" s="353" t="s">
        <v>468</v>
      </c>
      <c r="Y799" s="364" t="s">
        <v>143</v>
      </c>
      <c r="Z799" s="121">
        <v>24110</v>
      </c>
      <c r="AA799" s="123">
        <f>IFERROR((Table6[[#This Row],[Paired WTG Generation for loss calculation]]/24)*Table6[[#This Row],[Breakdown Time]],"")</f>
        <v>24109.720949074079</v>
      </c>
      <c r="AB799" s="121" t="s">
        <v>478</v>
      </c>
    </row>
    <row r="800" spans="1:28">
      <c r="A800" s="121">
        <f t="shared" si="12"/>
        <v>799</v>
      </c>
      <c r="B800" s="379">
        <f>YEAR(Table6[[#This Row],[Date]])+IF(MONTH(Table6[[#This Row],[Date]])&gt;=4,1,0)</f>
        <v>2026</v>
      </c>
      <c r="C800" s="39">
        <f>YEAR(Table6[[#This Row],[Date]])</f>
        <v>2025</v>
      </c>
      <c r="D800" s="39" t="s">
        <v>490</v>
      </c>
      <c r="E800" s="135">
        <f>Table6[[#This Row],[Date]]-DAY(Table6[[#This Row],[Date]])+1</f>
        <v>45809</v>
      </c>
      <c r="F800" s="134">
        <v>45825</v>
      </c>
      <c r="G800" s="121" t="s">
        <v>142</v>
      </c>
      <c r="H800" s="39" t="str">
        <f>_xlfn.XLOOKUP(Table6[[#This Row],[Affected WTG]],'Basic Data'!$A:$A,'Basic Data'!$B:$B)</f>
        <v>PWEGPL</v>
      </c>
      <c r="I800" s="39" t="str">
        <f>_xlfn.XLOOKUP(Table6[[#This Row],[Affected WTG]],'Basic Data'!$A:$A,'Basic Data'!$C:$C)</f>
        <v>MSEDCL</v>
      </c>
      <c r="J800" s="363">
        <f>IFERROR(VLOOKUP(Table6[[#This Row],[Affected WTG]],'Basic Data'!$A$3:$E$56,5,0),"")</f>
        <v>2.564102564102564E-2</v>
      </c>
      <c r="K800" s="121" t="s">
        <v>492</v>
      </c>
      <c r="L800" s="39" t="str">
        <f>IFERROR(VLOOKUP(Table6[[#This Row],[Error Code]],'Basic Data'!$T:$U,2,0),"")</f>
        <v>Manual Stop - Safety Related</v>
      </c>
      <c r="M800" s="364" t="s">
        <v>481</v>
      </c>
      <c r="O800" s="346">
        <v>0</v>
      </c>
      <c r="P800" s="346">
        <v>0.99998842592592596</v>
      </c>
      <c r="Q800" s="346">
        <v>0.99998842592592596</v>
      </c>
      <c r="R800" s="366">
        <f>IF(Table6[[#This Row],[Work Start TimeStamp]]="","",(Table6[[#This Row],[Work Start TimeStamp]]-Table6[[#This Row],[Fault Start TimeStamp]])*24)</f>
        <v>23.999722222222225</v>
      </c>
      <c r="S800" s="377">
        <f>(Table6[[#This Row],[Fault Clearance time]]-Table6[[#This Row],[Work Start TimeStamp]])*24</f>
        <v>0</v>
      </c>
      <c r="T800" s="380">
        <f>(Table6[[#This Row],[Fault Clearance time]]-Table6[[#This Row],[Fault Start TimeStamp]])*24</f>
        <v>23.999722222222225</v>
      </c>
      <c r="U800" s="364" t="s">
        <v>498</v>
      </c>
      <c r="V800" s="364" t="s">
        <v>473</v>
      </c>
      <c r="W800" s="355">
        <f>Table6[[#This Row],[Breakdown Time]]*(1/39)</f>
        <v>0.61537749287749288</v>
      </c>
      <c r="X800" s="353" t="s">
        <v>468</v>
      </c>
      <c r="Y800" s="364" t="s">
        <v>143</v>
      </c>
      <c r="Z800" s="121">
        <v>24110</v>
      </c>
      <c r="AA800" s="123">
        <f>IFERROR((Table6[[#This Row],[Paired WTG Generation for loss calculation]]/24)*Table6[[#This Row],[Breakdown Time]],"")</f>
        <v>24109.720949074079</v>
      </c>
      <c r="AB800" s="121" t="s">
        <v>478</v>
      </c>
    </row>
    <row r="801" spans="1:28">
      <c r="A801" s="121">
        <f t="shared" si="12"/>
        <v>800</v>
      </c>
      <c r="B801" s="379">
        <f>YEAR(Table6[[#This Row],[Date]])+IF(MONTH(Table6[[#This Row],[Date]])&gt;=4,1,0)</f>
        <v>2026</v>
      </c>
      <c r="C801" s="39">
        <f>YEAR(Table6[[#This Row],[Date]])</f>
        <v>2025</v>
      </c>
      <c r="D801" s="39" t="s">
        <v>490</v>
      </c>
      <c r="E801" s="135">
        <f>Table6[[#This Row],[Date]]-DAY(Table6[[#This Row],[Date]])+1</f>
        <v>45809</v>
      </c>
      <c r="F801" s="134">
        <v>45825</v>
      </c>
      <c r="G801" s="121" t="s">
        <v>131</v>
      </c>
      <c r="H801" s="39" t="str">
        <f>_xlfn.XLOOKUP(Table6[[#This Row],[Affected WTG]],'Basic Data'!$A:$A,'Basic Data'!$B:$B)</f>
        <v>PWEGPL</v>
      </c>
      <c r="I801" s="39" t="str">
        <f>_xlfn.XLOOKUP(Table6[[#This Row],[Affected WTG]],'Basic Data'!$A:$A,'Basic Data'!$C:$C)</f>
        <v>MSEDCL</v>
      </c>
      <c r="J801" s="363">
        <f>IFERROR(VLOOKUP(Table6[[#This Row],[Affected WTG]],'Basic Data'!$A$3:$E$56,5,0),"")</f>
        <v>2.564102564102564E-2</v>
      </c>
      <c r="K801" s="121">
        <v>5216</v>
      </c>
      <c r="L801" s="39" t="str">
        <f>IFERROR(VLOOKUP(Table6[[#This Row],[Error Code]],'Basic Data'!$T:$U,2,0),"")</f>
        <v>Grid Voltage Failure</v>
      </c>
      <c r="M801" s="364" t="s">
        <v>462</v>
      </c>
      <c r="O801" s="346">
        <v>0</v>
      </c>
      <c r="P801" s="346">
        <v>0.99998842592592596</v>
      </c>
      <c r="Q801" s="346">
        <v>0.99998842592592596</v>
      </c>
      <c r="R801" s="366">
        <f>IF(Table6[[#This Row],[Work Start TimeStamp]]="","",(Table6[[#This Row],[Work Start TimeStamp]]-Table6[[#This Row],[Fault Start TimeStamp]])*24)</f>
        <v>23.999722222222225</v>
      </c>
      <c r="S801" s="377">
        <f>(Table6[[#This Row],[Fault Clearance time]]-Table6[[#This Row],[Work Start TimeStamp]])*24</f>
        <v>0</v>
      </c>
      <c r="T801" s="380">
        <f>(Table6[[#This Row],[Fault Clearance time]]-Table6[[#This Row],[Fault Start TimeStamp]])*24</f>
        <v>23.999722222222225</v>
      </c>
      <c r="U801" s="364" t="s">
        <v>1247</v>
      </c>
      <c r="V801" s="364" t="s">
        <v>473</v>
      </c>
      <c r="W801" s="355">
        <f>Table6[[#This Row],[Breakdown Time]]*(1/39)</f>
        <v>0.61537749287749288</v>
      </c>
      <c r="X801" s="353" t="s">
        <v>465</v>
      </c>
      <c r="Y801" s="364" t="s">
        <v>132</v>
      </c>
      <c r="Z801" s="121">
        <v>24122</v>
      </c>
      <c r="AA801" s="123">
        <f>IFERROR((Table6[[#This Row],[Paired WTG Generation for loss calculation]]/24)*Table6[[#This Row],[Breakdown Time]],"")</f>
        <v>24121.72081018519</v>
      </c>
      <c r="AB801" s="121" t="s">
        <v>1246</v>
      </c>
    </row>
    <row r="802" spans="1:28">
      <c r="A802" s="121">
        <f t="shared" si="12"/>
        <v>801</v>
      </c>
      <c r="B802" s="379">
        <f>YEAR(Table6[[#This Row],[Date]])+IF(MONTH(Table6[[#This Row],[Date]])&gt;=4,1,0)</f>
        <v>2026</v>
      </c>
      <c r="C802" s="39">
        <f>YEAR(Table6[[#This Row],[Date]])</f>
        <v>2025</v>
      </c>
      <c r="D802" s="39" t="s">
        <v>490</v>
      </c>
      <c r="E802" s="135">
        <f>Table6[[#This Row],[Date]]-DAY(Table6[[#This Row],[Date]])+1</f>
        <v>45809</v>
      </c>
      <c r="F802" s="134">
        <v>45825</v>
      </c>
      <c r="G802" s="121" t="s">
        <v>129</v>
      </c>
      <c r="H802" s="39" t="str">
        <f>_xlfn.XLOOKUP(Table6[[#This Row],[Affected WTG]],'Basic Data'!$A:$A,'Basic Data'!$B:$B)</f>
        <v>PWEGPL</v>
      </c>
      <c r="I802" s="39" t="str">
        <f>_xlfn.XLOOKUP(Table6[[#This Row],[Affected WTG]],'Basic Data'!$A:$A,'Basic Data'!$C:$C)</f>
        <v>MSEDCL</v>
      </c>
      <c r="J802" s="363">
        <f>IFERROR(VLOOKUP(Table6[[#This Row],[Affected WTG]],'Basic Data'!$A$3:$E$56,5,0),"")</f>
        <v>2.564102564102564E-2</v>
      </c>
      <c r="K802" s="121">
        <v>502</v>
      </c>
      <c r="L802" s="39" t="str">
        <f>IFERROR(VLOOKUP(Table6[[#This Row],[Error Code]],'Basic Data'!$T:$U,2,0),"")</f>
        <v>Generator NDE Bearing High Temperature Alarm</v>
      </c>
      <c r="M802" s="364" t="s">
        <v>462</v>
      </c>
      <c r="O802" s="346">
        <v>0.57222222222222219</v>
      </c>
      <c r="P802" s="346">
        <v>0.58125000000000004</v>
      </c>
      <c r="Q802" s="346">
        <v>0.62152777777777779</v>
      </c>
      <c r="R802" s="366">
        <f>IF(Table6[[#This Row],[Work Start TimeStamp]]="","",(Table6[[#This Row],[Work Start TimeStamp]]-Table6[[#This Row],[Fault Start TimeStamp]])*24)</f>
        <v>0.21666666666666856</v>
      </c>
      <c r="S802" s="377">
        <f>(Table6[[#This Row],[Fault Clearance time]]-Table6[[#This Row],[Work Start TimeStamp]])*24</f>
        <v>0.9666666666666659</v>
      </c>
      <c r="T802" s="380">
        <f>(Table6[[#This Row],[Fault Clearance time]]-Table6[[#This Row],[Fault Start TimeStamp]])*24</f>
        <v>1.1833333333333345</v>
      </c>
      <c r="U802" s="364" t="s">
        <v>1254</v>
      </c>
      <c r="V802" s="364" t="s">
        <v>463</v>
      </c>
      <c r="W802" s="355">
        <f>Table6[[#This Row],[Breakdown Time]]*(1/39)</f>
        <v>3.0341880341880369E-2</v>
      </c>
      <c r="X802" s="353" t="s">
        <v>465</v>
      </c>
      <c r="Y802" s="364" t="s">
        <v>128</v>
      </c>
      <c r="Z802" s="121">
        <v>25011</v>
      </c>
      <c r="AA802" s="123">
        <f>IFERROR((Table6[[#This Row],[Paired WTG Generation for loss calculation]]/24)*Table6[[#This Row],[Breakdown Time]],"")</f>
        <v>1233.1812500000012</v>
      </c>
      <c r="AB802" s="121" t="s">
        <v>478</v>
      </c>
    </row>
    <row r="803" spans="1:28">
      <c r="A803" s="121">
        <f t="shared" si="12"/>
        <v>802</v>
      </c>
      <c r="B803" s="379">
        <f>YEAR(Table6[[#This Row],[Date]])+IF(MONTH(Table6[[#This Row],[Date]])&gt;=4,1,0)</f>
        <v>2026</v>
      </c>
      <c r="C803" s="39">
        <f>YEAR(Table6[[#This Row],[Date]])</f>
        <v>2025</v>
      </c>
      <c r="D803" s="39" t="s">
        <v>490</v>
      </c>
      <c r="E803" s="135">
        <f>Table6[[#This Row],[Date]]-DAY(Table6[[#This Row],[Date]])+1</f>
        <v>45809</v>
      </c>
      <c r="F803" s="134">
        <v>45825</v>
      </c>
      <c r="G803" s="121" t="s">
        <v>141</v>
      </c>
      <c r="H803" s="39" t="str">
        <f>_xlfn.XLOOKUP(Table6[[#This Row],[Affected WTG]],'Basic Data'!$A:$A,'Basic Data'!$B:$B)</f>
        <v>PWEGPL</v>
      </c>
      <c r="I803" s="39" t="str">
        <f>_xlfn.XLOOKUP(Table6[[#This Row],[Affected WTG]],'Basic Data'!$A:$A,'Basic Data'!$C:$C)</f>
        <v>MSEDCL</v>
      </c>
      <c r="J803" s="363">
        <f>IFERROR(VLOOKUP(Table6[[#This Row],[Affected WTG]],'Basic Data'!$A$3:$E$56,5,0),"")</f>
        <v>2.564102564102564E-2</v>
      </c>
      <c r="K803" s="121">
        <v>813</v>
      </c>
      <c r="L803" s="39" t="str">
        <f>IFERROR(VLOOKUP(Table6[[#This Row],[Error Code]],'Basic Data'!$T:$U,2,0),"")</f>
        <v>Low Pressure Of Emergency Accumulators</v>
      </c>
      <c r="M803" s="364" t="s">
        <v>462</v>
      </c>
      <c r="O803" s="346">
        <v>0.44444444444444442</v>
      </c>
      <c r="P803" s="346">
        <v>0.47222222222222221</v>
      </c>
      <c r="Q803" s="346">
        <v>0.99930555555555556</v>
      </c>
      <c r="R803" s="366">
        <f>IF(Table6[[#This Row],[Work Start TimeStamp]]="","",(Table6[[#This Row],[Work Start TimeStamp]]-Table6[[#This Row],[Fault Start TimeStamp]])*24)</f>
        <v>0.66666666666666696</v>
      </c>
      <c r="S803" s="377">
        <f>(Table6[[#This Row],[Fault Clearance time]]-Table6[[#This Row],[Work Start TimeStamp]])*24</f>
        <v>12.65</v>
      </c>
      <c r="T803" s="380">
        <f>(Table6[[#This Row],[Fault Clearance time]]-Table6[[#This Row],[Fault Start TimeStamp]])*24</f>
        <v>13.316666666666666</v>
      </c>
      <c r="U803" s="364" t="s">
        <v>1255</v>
      </c>
      <c r="V803" s="364" t="s">
        <v>473</v>
      </c>
      <c r="W803" s="355">
        <f>Table6[[#This Row],[Breakdown Time]]*(1/39)</f>
        <v>0.34145299145299146</v>
      </c>
      <c r="X803" s="353" t="s">
        <v>465</v>
      </c>
      <c r="Y803" s="364" t="s">
        <v>143</v>
      </c>
      <c r="Z803" s="121">
        <v>24110</v>
      </c>
      <c r="AA803" s="123">
        <f>IFERROR((Table6[[#This Row],[Paired WTG Generation for loss calculation]]/24)*Table6[[#This Row],[Breakdown Time]],"")</f>
        <v>13377.701388888889</v>
      </c>
      <c r="AB803" s="121" t="s">
        <v>478</v>
      </c>
    </row>
    <row r="804" spans="1:28">
      <c r="A804" s="121">
        <f t="shared" si="12"/>
        <v>803</v>
      </c>
      <c r="B804" s="379">
        <f>YEAR(Table6[[#This Row],[Date]])+IF(MONTH(Table6[[#This Row],[Date]])&gt;=4,1,0)</f>
        <v>2026</v>
      </c>
      <c r="C804" s="39">
        <f>YEAR(Table6[[#This Row],[Date]])</f>
        <v>2025</v>
      </c>
      <c r="D804" s="39" t="s">
        <v>490</v>
      </c>
      <c r="E804" s="135">
        <f>Table6[[#This Row],[Date]]-DAY(Table6[[#This Row],[Date]])+1</f>
        <v>45809</v>
      </c>
      <c r="F804" s="134">
        <v>45825</v>
      </c>
      <c r="G804" s="121" t="s">
        <v>146</v>
      </c>
      <c r="H804" s="39" t="str">
        <f>_xlfn.XLOOKUP(Table6[[#This Row],[Affected WTG]],'Basic Data'!$A:$A,'Basic Data'!$B:$B)</f>
        <v>PWEGPL</v>
      </c>
      <c r="I804" s="39" t="str">
        <f>_xlfn.XLOOKUP(Table6[[#This Row],[Affected WTG]],'Basic Data'!$A:$A,'Basic Data'!$C:$C)</f>
        <v>MSEDCL</v>
      </c>
      <c r="J804" s="363">
        <f>IFERROR(VLOOKUP(Table6[[#This Row],[Affected WTG]],'Basic Data'!$A$3:$E$56,5,0),"")</f>
        <v>2.564102564102564E-2</v>
      </c>
      <c r="K804" s="121" t="s">
        <v>492</v>
      </c>
      <c r="L804" s="39" t="str">
        <f>IFERROR(VLOOKUP(Table6[[#This Row],[Error Code]],'Basic Data'!$T:$U,2,0),"")</f>
        <v>Manual Stop - Safety Related</v>
      </c>
      <c r="M804" s="364" t="s">
        <v>481</v>
      </c>
      <c r="O804" s="346">
        <v>0.46666666666666667</v>
      </c>
      <c r="P804" s="346">
        <v>0.46666666666666667</v>
      </c>
      <c r="Q804" s="346">
        <v>0.59861111111111109</v>
      </c>
      <c r="R804" s="366">
        <f>IF(Table6[[#This Row],[Work Start TimeStamp]]="","",(Table6[[#This Row],[Work Start TimeStamp]]-Table6[[#This Row],[Fault Start TimeStamp]])*24)</f>
        <v>0</v>
      </c>
      <c r="S804" s="377">
        <f>(Table6[[#This Row],[Fault Clearance time]]-Table6[[#This Row],[Work Start TimeStamp]])*24</f>
        <v>3.1666666666666661</v>
      </c>
      <c r="T804" s="380">
        <f>(Table6[[#This Row],[Fault Clearance time]]-Table6[[#This Row],[Fault Start TimeStamp]])*24</f>
        <v>3.1666666666666661</v>
      </c>
      <c r="U804" s="364" t="s">
        <v>508</v>
      </c>
      <c r="V804" s="364" t="s">
        <v>463</v>
      </c>
      <c r="W804" s="355">
        <f>Table6[[#This Row],[Breakdown Time]]*(1/39)</f>
        <v>8.1196581196581172E-2</v>
      </c>
      <c r="X804" s="353" t="s">
        <v>1212</v>
      </c>
      <c r="Y804" s="364" t="s">
        <v>147</v>
      </c>
      <c r="Z804" s="121">
        <v>24521</v>
      </c>
      <c r="AA804" s="123">
        <f>IFERROR((Table6[[#This Row],[Paired WTG Generation for loss calculation]]/24)*Table6[[#This Row],[Breakdown Time]],"")</f>
        <v>3235.4097222222217</v>
      </c>
      <c r="AB804" s="121" t="s">
        <v>478</v>
      </c>
    </row>
    <row r="805" spans="1:28">
      <c r="A805" s="121">
        <f t="shared" si="12"/>
        <v>804</v>
      </c>
      <c r="B805" s="379">
        <f>YEAR(Table6[[#This Row],[Date]])+IF(MONTH(Table6[[#This Row],[Date]])&gt;=4,1,0)</f>
        <v>2026</v>
      </c>
      <c r="C805" s="39">
        <f>YEAR(Table6[[#This Row],[Date]])</f>
        <v>2025</v>
      </c>
      <c r="D805" s="39" t="s">
        <v>490</v>
      </c>
      <c r="E805" s="135">
        <f>Table6[[#This Row],[Date]]-DAY(Table6[[#This Row],[Date]])+1</f>
        <v>45809</v>
      </c>
      <c r="F805" s="134">
        <v>45825</v>
      </c>
      <c r="G805" s="121" t="s">
        <v>129</v>
      </c>
      <c r="H805" s="39" t="str">
        <f>_xlfn.XLOOKUP(Table6[[#This Row],[Affected WTG]],'Basic Data'!$A:$A,'Basic Data'!$B:$B)</f>
        <v>PWEGPL</v>
      </c>
      <c r="I805" s="39" t="str">
        <f>_xlfn.XLOOKUP(Table6[[#This Row],[Affected WTG]],'Basic Data'!$A:$A,'Basic Data'!$C:$C)</f>
        <v>MSEDCL</v>
      </c>
      <c r="J805" s="363">
        <f>IFERROR(VLOOKUP(Table6[[#This Row],[Affected WTG]],'Basic Data'!$A$3:$E$56,5,0),"")</f>
        <v>2.564102564102564E-2</v>
      </c>
      <c r="K805" s="121" t="s">
        <v>492</v>
      </c>
      <c r="L805" s="39" t="str">
        <f>IFERROR(VLOOKUP(Table6[[#This Row],[Error Code]],'Basic Data'!$T:$U,2,0),"")</f>
        <v>Manual Stop - Safety Related</v>
      </c>
      <c r="M805" s="364" t="s">
        <v>481</v>
      </c>
      <c r="O805" s="346">
        <v>0.62430555555555556</v>
      </c>
      <c r="P805" s="346">
        <v>0.62430555555555556</v>
      </c>
      <c r="Q805" s="346">
        <v>0.69444444444444442</v>
      </c>
      <c r="R805" s="366">
        <f>IF(Table6[[#This Row],[Work Start TimeStamp]]="","",(Table6[[#This Row],[Work Start TimeStamp]]-Table6[[#This Row],[Fault Start TimeStamp]])*24)</f>
        <v>0</v>
      </c>
      <c r="S805" s="377">
        <f>(Table6[[#This Row],[Fault Clearance time]]-Table6[[#This Row],[Work Start TimeStamp]])*24</f>
        <v>1.6833333333333327</v>
      </c>
      <c r="T805" s="380">
        <f>(Table6[[#This Row],[Fault Clearance time]]-Table6[[#This Row],[Fault Start TimeStamp]])*24</f>
        <v>1.6833333333333327</v>
      </c>
      <c r="U805" s="364" t="s">
        <v>508</v>
      </c>
      <c r="V805" s="364" t="s">
        <v>463</v>
      </c>
      <c r="W805" s="355">
        <f>Table6[[#This Row],[Breakdown Time]]*(1/39)</f>
        <v>4.3162393162393141E-2</v>
      </c>
      <c r="X805" s="353" t="s">
        <v>1212</v>
      </c>
      <c r="Y805" s="364" t="s">
        <v>128</v>
      </c>
      <c r="Z805" s="121">
        <v>25011</v>
      </c>
      <c r="AA805" s="123">
        <f>IFERROR((Table6[[#This Row],[Paired WTG Generation for loss calculation]]/24)*Table6[[#This Row],[Breakdown Time]],"")</f>
        <v>1754.2437499999994</v>
      </c>
      <c r="AB805" s="121" t="s">
        <v>478</v>
      </c>
    </row>
    <row r="806" spans="1:28">
      <c r="A806" s="121">
        <f t="shared" si="12"/>
        <v>805</v>
      </c>
      <c r="B806" s="379">
        <f>YEAR(Table6[[#This Row],[Date]])+IF(MONTH(Table6[[#This Row],[Date]])&gt;=4,1,0)</f>
        <v>2026</v>
      </c>
      <c r="C806" s="39">
        <f>YEAR(Table6[[#This Row],[Date]])</f>
        <v>2025</v>
      </c>
      <c r="D806" s="39" t="s">
        <v>490</v>
      </c>
      <c r="E806" s="135">
        <f>Table6[[#This Row],[Date]]-DAY(Table6[[#This Row],[Date]])+1</f>
        <v>45809</v>
      </c>
      <c r="F806" s="134">
        <v>45825</v>
      </c>
      <c r="G806" s="121" t="s">
        <v>117</v>
      </c>
      <c r="H806" s="39" t="str">
        <f>_xlfn.XLOOKUP(Table6[[#This Row],[Affected WTG]],'Basic Data'!$A:$A,'Basic Data'!$B:$B)</f>
        <v>PWEGPL</v>
      </c>
      <c r="I806" s="39" t="str">
        <f>_xlfn.XLOOKUP(Table6[[#This Row],[Affected WTG]],'Basic Data'!$A:$A,'Basic Data'!$C:$C)</f>
        <v>MSEDCL</v>
      </c>
      <c r="J806" s="363">
        <f>IFERROR(VLOOKUP(Table6[[#This Row],[Affected WTG]],'Basic Data'!$A$3:$E$56,5,0),"")</f>
        <v>2.564102564102564E-2</v>
      </c>
      <c r="K806" s="121">
        <v>800</v>
      </c>
      <c r="L806" s="39" t="str">
        <f>IFERROR(VLOOKUP(Table6[[#This Row],[Error Code]],'Basic Data'!$T:$U,2,0),"")</f>
        <v>Pitch Drive Error</v>
      </c>
      <c r="M806" s="364" t="s">
        <v>462</v>
      </c>
      <c r="O806" s="346">
        <v>0.47430555555555554</v>
      </c>
      <c r="P806" s="346">
        <v>0.4909722222222222</v>
      </c>
      <c r="Q806" s="346">
        <v>0.49375000000000002</v>
      </c>
      <c r="R806" s="366">
        <f>IF(Table6[[#This Row],[Work Start TimeStamp]]="","",(Table6[[#This Row],[Work Start TimeStamp]]-Table6[[#This Row],[Fault Start TimeStamp]])*24)</f>
        <v>0.39999999999999991</v>
      </c>
      <c r="S806" s="377">
        <f>(Table6[[#This Row],[Fault Clearance time]]-Table6[[#This Row],[Work Start TimeStamp]])*24</f>
        <v>6.6666666666667762E-2</v>
      </c>
      <c r="T806" s="380">
        <f>(Table6[[#This Row],[Fault Clearance time]]-Table6[[#This Row],[Fault Start TimeStamp]])*24</f>
        <v>0.46666666666666767</v>
      </c>
      <c r="U806" s="364" t="s">
        <v>493</v>
      </c>
      <c r="V806" s="364" t="s">
        <v>463</v>
      </c>
      <c r="W806" s="355">
        <f>Table6[[#This Row],[Breakdown Time]]*(1/39)</f>
        <v>1.1965811965811991E-2</v>
      </c>
      <c r="X806" s="353" t="s">
        <v>465</v>
      </c>
      <c r="Y806" s="364" t="s">
        <v>118</v>
      </c>
      <c r="Z806" s="121">
        <v>24900</v>
      </c>
      <c r="AA806" s="123">
        <f>IFERROR((Table6[[#This Row],[Paired WTG Generation for loss calculation]]/24)*Table6[[#This Row],[Breakdown Time]],"")</f>
        <v>484.16666666666771</v>
      </c>
      <c r="AB806" s="121" t="s">
        <v>478</v>
      </c>
    </row>
    <row r="807" spans="1:28">
      <c r="A807" s="121">
        <f t="shared" si="12"/>
        <v>806</v>
      </c>
      <c r="B807" s="379">
        <f>YEAR(Table6[[#This Row],[Date]])+IF(MONTH(Table6[[#This Row],[Date]])&gt;=4,1,0)</f>
        <v>2026</v>
      </c>
      <c r="C807" s="39">
        <f>YEAR(Table6[[#This Row],[Date]])</f>
        <v>2025</v>
      </c>
      <c r="D807" s="39" t="s">
        <v>490</v>
      </c>
      <c r="E807" s="135">
        <f>Table6[[#This Row],[Date]]-DAY(Table6[[#This Row],[Date]])+1</f>
        <v>45809</v>
      </c>
      <c r="F807" s="134">
        <v>45825</v>
      </c>
      <c r="G807" s="121" t="s">
        <v>126</v>
      </c>
      <c r="H807" s="39" t="str">
        <f>_xlfn.XLOOKUP(Table6[[#This Row],[Affected WTG]],'Basic Data'!$A:$A,'Basic Data'!$B:$B)</f>
        <v>PWEGPL</v>
      </c>
      <c r="I807" s="39" t="str">
        <f>_xlfn.XLOOKUP(Table6[[#This Row],[Affected WTG]],'Basic Data'!$A:$A,'Basic Data'!$C:$C)</f>
        <v>MSEDCL</v>
      </c>
      <c r="J807" s="363">
        <f>IFERROR(VLOOKUP(Table6[[#This Row],[Affected WTG]],'Basic Data'!$A$3:$E$56,5,0),"")</f>
        <v>2.564102564102564E-2</v>
      </c>
      <c r="K807" s="121">
        <v>203</v>
      </c>
      <c r="L807" s="39" t="str">
        <f>IFERROR(VLOOKUP(Table6[[#This Row],[Error Code]],'Basic Data'!$T:$U,2,0),"")</f>
        <v>Low Pressure On Hydraulic Group</v>
      </c>
      <c r="M807" s="364" t="s">
        <v>462</v>
      </c>
      <c r="O807" s="346">
        <v>0.51736111111111116</v>
      </c>
      <c r="P807" s="346">
        <v>0.52569444444444446</v>
      </c>
      <c r="Q807" s="346">
        <v>0.52708333333333335</v>
      </c>
      <c r="R807" s="366">
        <f>IF(Table6[[#This Row],[Work Start TimeStamp]]="","",(Table6[[#This Row],[Work Start TimeStamp]]-Table6[[#This Row],[Fault Start TimeStamp]])*24)</f>
        <v>0.19999999999999929</v>
      </c>
      <c r="S807" s="377">
        <f>(Table6[[#This Row],[Fault Clearance time]]-Table6[[#This Row],[Work Start TimeStamp]])*24</f>
        <v>3.3333333333333215E-2</v>
      </c>
      <c r="T807" s="380">
        <f>(Table6[[#This Row],[Fault Clearance time]]-Table6[[#This Row],[Fault Start TimeStamp]])*24</f>
        <v>0.2333333333333325</v>
      </c>
      <c r="U807" s="364" t="s">
        <v>493</v>
      </c>
      <c r="V807" s="364" t="s">
        <v>463</v>
      </c>
      <c r="W807" s="355">
        <f>Table6[[#This Row],[Breakdown Time]]*(1/39)</f>
        <v>5.9829059829059617E-3</v>
      </c>
      <c r="X807" s="353" t="s">
        <v>465</v>
      </c>
      <c r="Y807" s="364" t="s">
        <v>127</v>
      </c>
      <c r="Z807" s="121">
        <v>26543</v>
      </c>
      <c r="AA807" s="123">
        <f>IFERROR((Table6[[#This Row],[Paired WTG Generation for loss calculation]]/24)*Table6[[#This Row],[Breakdown Time]],"")</f>
        <v>258.0569444444435</v>
      </c>
      <c r="AB807" s="121" t="s">
        <v>478</v>
      </c>
    </row>
    <row r="808" spans="1:28">
      <c r="A808" s="121">
        <f t="shared" si="12"/>
        <v>807</v>
      </c>
      <c r="B808" s="379">
        <f>YEAR(Table6[[#This Row],[Date]])+IF(MONTH(Table6[[#This Row],[Date]])&gt;=4,1,0)</f>
        <v>2026</v>
      </c>
      <c r="C808" s="39">
        <f>YEAR(Table6[[#This Row],[Date]])</f>
        <v>2025</v>
      </c>
      <c r="D808" s="39" t="s">
        <v>490</v>
      </c>
      <c r="E808" s="135">
        <f>Table6[[#This Row],[Date]]-DAY(Table6[[#This Row],[Date]])+1</f>
        <v>45809</v>
      </c>
      <c r="F808" s="134">
        <v>45826</v>
      </c>
      <c r="G808" s="121" t="s">
        <v>144</v>
      </c>
      <c r="H808" s="39" t="str">
        <f>_xlfn.XLOOKUP(Table6[[#This Row],[Affected WTG]],'Basic Data'!$A:$A,'Basic Data'!$B:$B)</f>
        <v>PWEGPL</v>
      </c>
      <c r="I808" s="39" t="str">
        <f>_xlfn.XLOOKUP(Table6[[#This Row],[Affected WTG]],'Basic Data'!$A:$A,'Basic Data'!$C:$C)</f>
        <v>MSEDCL</v>
      </c>
      <c r="J808" s="363">
        <f>IFERROR(VLOOKUP(Table6[[#This Row],[Affected WTG]],'Basic Data'!$A$3:$E$56,5,0),"")</f>
        <v>2.564102564102564E-2</v>
      </c>
      <c r="K808" s="121" t="s">
        <v>492</v>
      </c>
      <c r="L808" s="39" t="str">
        <f>IFERROR(VLOOKUP(Table6[[#This Row],[Error Code]],'Basic Data'!$T:$U,2,0),"")</f>
        <v>Manual Stop - Safety Related</v>
      </c>
      <c r="M808" s="364" t="s">
        <v>481</v>
      </c>
      <c r="O808" s="346">
        <v>0</v>
      </c>
      <c r="P808" s="346">
        <v>0.99998842592592596</v>
      </c>
      <c r="Q808" s="346">
        <v>0.99998842592592596</v>
      </c>
      <c r="R808" s="366">
        <f>IF(Table6[[#This Row],[Work Start TimeStamp]]="","",(Table6[[#This Row],[Work Start TimeStamp]]-Table6[[#This Row],[Fault Start TimeStamp]])*24)</f>
        <v>23.999722222222225</v>
      </c>
      <c r="S808" s="377">
        <f>(Table6[[#This Row],[Fault Clearance time]]-Table6[[#This Row],[Work Start TimeStamp]])*24</f>
        <v>0</v>
      </c>
      <c r="T808" s="380">
        <f>(Table6[[#This Row],[Fault Clearance time]]-Table6[[#This Row],[Fault Start TimeStamp]])*24</f>
        <v>23.999722222222225</v>
      </c>
      <c r="U808" s="364" t="s">
        <v>498</v>
      </c>
      <c r="V808" s="364" t="s">
        <v>473</v>
      </c>
      <c r="W808" s="355">
        <f>Table6[[#This Row],[Breakdown Time]]*(1/39)</f>
        <v>0.61537749287749288</v>
      </c>
      <c r="X808" s="353" t="s">
        <v>468</v>
      </c>
      <c r="Y808" s="364" t="s">
        <v>143</v>
      </c>
      <c r="Z808" s="121">
        <v>27943</v>
      </c>
      <c r="AA808" s="123">
        <f>IFERROR((Table6[[#This Row],[Paired WTG Generation for loss calculation]]/24)*Table6[[#This Row],[Breakdown Time]],"")</f>
        <v>27942.676585648154</v>
      </c>
      <c r="AB808" s="121" t="s">
        <v>478</v>
      </c>
    </row>
    <row r="809" spans="1:28">
      <c r="A809" s="121">
        <f t="shared" si="12"/>
        <v>808</v>
      </c>
      <c r="B809" s="379">
        <f>YEAR(Table6[[#This Row],[Date]])+IF(MONTH(Table6[[#This Row],[Date]])&gt;=4,1,0)</f>
        <v>2026</v>
      </c>
      <c r="C809" s="39">
        <f>YEAR(Table6[[#This Row],[Date]])</f>
        <v>2025</v>
      </c>
      <c r="D809" s="39" t="s">
        <v>490</v>
      </c>
      <c r="E809" s="135">
        <f>Table6[[#This Row],[Date]]-DAY(Table6[[#This Row],[Date]])+1</f>
        <v>45809</v>
      </c>
      <c r="F809" s="134">
        <v>45826</v>
      </c>
      <c r="G809" s="121" t="s">
        <v>142</v>
      </c>
      <c r="H809" s="39" t="str">
        <f>_xlfn.XLOOKUP(Table6[[#This Row],[Affected WTG]],'Basic Data'!$A:$A,'Basic Data'!$B:$B)</f>
        <v>PWEGPL</v>
      </c>
      <c r="I809" s="39" t="str">
        <f>_xlfn.XLOOKUP(Table6[[#This Row],[Affected WTG]],'Basic Data'!$A:$A,'Basic Data'!$C:$C)</f>
        <v>MSEDCL</v>
      </c>
      <c r="J809" s="363">
        <f>IFERROR(VLOOKUP(Table6[[#This Row],[Affected WTG]],'Basic Data'!$A$3:$E$56,5,0),"")</f>
        <v>2.564102564102564E-2</v>
      </c>
      <c r="K809" s="121" t="s">
        <v>492</v>
      </c>
      <c r="L809" s="39" t="str">
        <f>IFERROR(VLOOKUP(Table6[[#This Row],[Error Code]],'Basic Data'!$T:$U,2,0),"")</f>
        <v>Manual Stop - Safety Related</v>
      </c>
      <c r="M809" s="364" t="s">
        <v>481</v>
      </c>
      <c r="O809" s="346">
        <v>0</v>
      </c>
      <c r="P809" s="346">
        <v>0.99998842592592596</v>
      </c>
      <c r="Q809" s="346">
        <v>0.99998842592592596</v>
      </c>
      <c r="R809" s="366">
        <f>IF(Table6[[#This Row],[Work Start TimeStamp]]="","",(Table6[[#This Row],[Work Start TimeStamp]]-Table6[[#This Row],[Fault Start TimeStamp]])*24)</f>
        <v>23.999722222222225</v>
      </c>
      <c r="S809" s="377">
        <f>(Table6[[#This Row],[Fault Clearance time]]-Table6[[#This Row],[Work Start TimeStamp]])*24</f>
        <v>0</v>
      </c>
      <c r="T809" s="380">
        <f>(Table6[[#This Row],[Fault Clearance time]]-Table6[[#This Row],[Fault Start TimeStamp]])*24</f>
        <v>23.999722222222225</v>
      </c>
      <c r="U809" s="364" t="s">
        <v>498</v>
      </c>
      <c r="V809" s="364" t="s">
        <v>473</v>
      </c>
      <c r="W809" s="355">
        <f>Table6[[#This Row],[Breakdown Time]]*(1/39)</f>
        <v>0.61537749287749288</v>
      </c>
      <c r="X809" s="353" t="s">
        <v>468</v>
      </c>
      <c r="Y809" s="364" t="s">
        <v>143</v>
      </c>
      <c r="Z809" s="121">
        <v>27943</v>
      </c>
      <c r="AA809" s="123">
        <f>IFERROR((Table6[[#This Row],[Paired WTG Generation for loss calculation]]/24)*Table6[[#This Row],[Breakdown Time]],"")</f>
        <v>27942.676585648154</v>
      </c>
      <c r="AB809" s="121" t="s">
        <v>478</v>
      </c>
    </row>
    <row r="810" spans="1:28">
      <c r="A810" s="121">
        <f t="shared" si="12"/>
        <v>809</v>
      </c>
      <c r="B810" s="379">
        <f>YEAR(Table6[[#This Row],[Date]])+IF(MONTH(Table6[[#This Row],[Date]])&gt;=4,1,0)</f>
        <v>2026</v>
      </c>
      <c r="C810" s="39">
        <f>YEAR(Table6[[#This Row],[Date]])</f>
        <v>2025</v>
      </c>
      <c r="D810" s="39" t="s">
        <v>490</v>
      </c>
      <c r="E810" s="135">
        <f>Table6[[#This Row],[Date]]-DAY(Table6[[#This Row],[Date]])+1</f>
        <v>45809</v>
      </c>
      <c r="F810" s="134">
        <v>45826</v>
      </c>
      <c r="G810" s="121" t="s">
        <v>131</v>
      </c>
      <c r="H810" s="39" t="str">
        <f>_xlfn.XLOOKUP(Table6[[#This Row],[Affected WTG]],'Basic Data'!$A:$A,'Basic Data'!$B:$B)</f>
        <v>PWEGPL</v>
      </c>
      <c r="I810" s="39" t="str">
        <f>_xlfn.XLOOKUP(Table6[[#This Row],[Affected WTG]],'Basic Data'!$A:$A,'Basic Data'!$C:$C)</f>
        <v>MSEDCL</v>
      </c>
      <c r="J810" s="363">
        <f>IFERROR(VLOOKUP(Table6[[#This Row],[Affected WTG]],'Basic Data'!$A$3:$E$56,5,0),"")</f>
        <v>2.564102564102564E-2</v>
      </c>
      <c r="K810" s="121">
        <v>5216</v>
      </c>
      <c r="L810" s="39" t="str">
        <f>IFERROR(VLOOKUP(Table6[[#This Row],[Error Code]],'Basic Data'!$T:$U,2,0),"")</f>
        <v>Grid Voltage Failure</v>
      </c>
      <c r="M810" s="364" t="s">
        <v>462</v>
      </c>
      <c r="O810" s="346">
        <v>0</v>
      </c>
      <c r="P810" s="346">
        <v>0.99998842592592596</v>
      </c>
      <c r="Q810" s="346">
        <v>0.99998842592592596</v>
      </c>
      <c r="R810" s="366">
        <f>IF(Table6[[#This Row],[Work Start TimeStamp]]="","",(Table6[[#This Row],[Work Start TimeStamp]]-Table6[[#This Row],[Fault Start TimeStamp]])*24)</f>
        <v>23.999722222222225</v>
      </c>
      <c r="S810" s="377">
        <f>(Table6[[#This Row],[Fault Clearance time]]-Table6[[#This Row],[Work Start TimeStamp]])*24</f>
        <v>0</v>
      </c>
      <c r="T810" s="380">
        <f>(Table6[[#This Row],[Fault Clearance time]]-Table6[[#This Row],[Fault Start TimeStamp]])*24</f>
        <v>23.999722222222225</v>
      </c>
      <c r="U810" s="364" t="s">
        <v>1247</v>
      </c>
      <c r="V810" s="364" t="s">
        <v>473</v>
      </c>
      <c r="W810" s="355">
        <f>Table6[[#This Row],[Breakdown Time]]*(1/39)</f>
        <v>0.61537749287749288</v>
      </c>
      <c r="X810" s="353" t="s">
        <v>465</v>
      </c>
      <c r="Y810" s="364" t="s">
        <v>132</v>
      </c>
      <c r="Z810" s="121">
        <v>28901</v>
      </c>
      <c r="AA810" s="123">
        <f>IFERROR((Table6[[#This Row],[Paired WTG Generation for loss calculation]]/24)*Table6[[#This Row],[Breakdown Time]],"")</f>
        <v>28900.665497685186</v>
      </c>
      <c r="AB810" s="121" t="s">
        <v>1246</v>
      </c>
    </row>
    <row r="811" spans="1:28">
      <c r="A811" s="121">
        <f t="shared" si="12"/>
        <v>810</v>
      </c>
      <c r="B811" s="379">
        <f>YEAR(Table6[[#This Row],[Date]])+IF(MONTH(Table6[[#This Row],[Date]])&gt;=4,1,0)</f>
        <v>2026</v>
      </c>
      <c r="C811" s="39">
        <f>YEAR(Table6[[#This Row],[Date]])</f>
        <v>2025</v>
      </c>
      <c r="D811" s="39" t="s">
        <v>490</v>
      </c>
      <c r="E811" s="135">
        <f>Table6[[#This Row],[Date]]-DAY(Table6[[#This Row],[Date]])+1</f>
        <v>45809</v>
      </c>
      <c r="F811" s="134">
        <v>45826</v>
      </c>
      <c r="G811" s="121" t="s">
        <v>152</v>
      </c>
      <c r="H811" s="39" t="str">
        <f>_xlfn.XLOOKUP(Table6[[#This Row],[Affected WTG]],'Basic Data'!$A:$A,'Basic Data'!$B:$B)</f>
        <v>PWEGPL</v>
      </c>
      <c r="I811" s="39" t="str">
        <f>_xlfn.XLOOKUP(Table6[[#This Row],[Affected WTG]],'Basic Data'!$A:$A,'Basic Data'!$C:$C)</f>
        <v>MSEDCL</v>
      </c>
      <c r="J811" s="363">
        <f>IFERROR(VLOOKUP(Table6[[#This Row],[Affected WTG]],'Basic Data'!$A$3:$E$56,5,0),"")</f>
        <v>2.564102564102564E-2</v>
      </c>
      <c r="K811" s="121">
        <v>813</v>
      </c>
      <c r="L811" s="39" t="str">
        <f>IFERROR(VLOOKUP(Table6[[#This Row],[Error Code]],'Basic Data'!$T:$U,2,0),"")</f>
        <v>Low Pressure Of Emergency Accumulators</v>
      </c>
      <c r="M811" s="364" t="s">
        <v>462</v>
      </c>
      <c r="O811" s="346">
        <v>0.59861111111111109</v>
      </c>
      <c r="P811" s="346">
        <v>0.62986111111111109</v>
      </c>
      <c r="Q811" s="346">
        <v>0.70694444444444449</v>
      </c>
      <c r="R811" s="366">
        <f>IF(Table6[[#This Row],[Work Start TimeStamp]]="","",(Table6[[#This Row],[Work Start TimeStamp]]-Table6[[#This Row],[Fault Start TimeStamp]])*24)</f>
        <v>0.75</v>
      </c>
      <c r="S811" s="377">
        <f>(Table6[[#This Row],[Fault Clearance time]]-Table6[[#This Row],[Work Start TimeStamp]])*24</f>
        <v>1.8500000000000014</v>
      </c>
      <c r="T811" s="380">
        <f>(Table6[[#This Row],[Fault Clearance time]]-Table6[[#This Row],[Fault Start TimeStamp]])*24</f>
        <v>2.6000000000000014</v>
      </c>
      <c r="U811" s="364" t="s">
        <v>1256</v>
      </c>
      <c r="V811" s="364" t="s">
        <v>463</v>
      </c>
      <c r="W811" s="355">
        <f>Table6[[#This Row],[Breakdown Time]]*(1/39)</f>
        <v>6.6666666666666707E-2</v>
      </c>
      <c r="X811" s="353" t="s">
        <v>465</v>
      </c>
      <c r="Y811" s="364" t="s">
        <v>153</v>
      </c>
      <c r="Z811" s="121">
        <v>28381</v>
      </c>
      <c r="AA811" s="123">
        <f>IFERROR((Table6[[#This Row],[Paired WTG Generation for loss calculation]]/24)*Table6[[#This Row],[Breakdown Time]],"")</f>
        <v>3074.6083333333354</v>
      </c>
      <c r="AB811" s="121" t="s">
        <v>478</v>
      </c>
    </row>
    <row r="812" spans="1:28">
      <c r="A812" s="121">
        <f t="shared" si="12"/>
        <v>811</v>
      </c>
      <c r="B812" s="379">
        <f>YEAR(Table6[[#This Row],[Date]])+IF(MONTH(Table6[[#This Row],[Date]])&gt;=4,1,0)</f>
        <v>2026</v>
      </c>
      <c r="C812" s="39">
        <f>YEAR(Table6[[#This Row],[Date]])</f>
        <v>2025</v>
      </c>
      <c r="D812" s="39" t="s">
        <v>490</v>
      </c>
      <c r="E812" s="135">
        <f>Table6[[#This Row],[Date]]-DAY(Table6[[#This Row],[Date]])+1</f>
        <v>45809</v>
      </c>
      <c r="F812" s="134">
        <v>45826</v>
      </c>
      <c r="G812" s="121" t="s">
        <v>121</v>
      </c>
      <c r="H812" s="39" t="str">
        <f>_xlfn.XLOOKUP(Table6[[#This Row],[Affected WTG]],'Basic Data'!$A:$A,'Basic Data'!$B:$B)</f>
        <v>PWEGPL</v>
      </c>
      <c r="I812" s="39" t="str">
        <f>_xlfn.XLOOKUP(Table6[[#This Row],[Affected WTG]],'Basic Data'!$A:$A,'Basic Data'!$C:$C)</f>
        <v>MSEDCL</v>
      </c>
      <c r="J812" s="363">
        <f>IFERROR(VLOOKUP(Table6[[#This Row],[Affected WTG]],'Basic Data'!$A$3:$E$56,5,0),"")</f>
        <v>2.564102564102564E-2</v>
      </c>
      <c r="K812" s="121">
        <v>403</v>
      </c>
      <c r="L812" s="39" t="str">
        <f>IFERROR(VLOOKUP(Table6[[#This Row],[Error Code]],'Basic Data'!$T:$U,2,0),"")</f>
        <v>High Gearbox Oil Temperature</v>
      </c>
      <c r="M812" s="364" t="s">
        <v>462</v>
      </c>
      <c r="O812" s="346">
        <v>0.70763888888888893</v>
      </c>
      <c r="P812" s="346">
        <v>0.72569444444444442</v>
      </c>
      <c r="Q812" s="346">
        <v>0.81111111111111112</v>
      </c>
      <c r="R812" s="366">
        <f>IF(Table6[[#This Row],[Work Start TimeStamp]]="","",(Table6[[#This Row],[Work Start TimeStamp]]-Table6[[#This Row],[Fault Start TimeStamp]])*24)</f>
        <v>0.43333333333333179</v>
      </c>
      <c r="S812" s="377">
        <f>(Table6[[#This Row],[Fault Clearance time]]-Table6[[#This Row],[Work Start TimeStamp]])*24</f>
        <v>2.0500000000000007</v>
      </c>
      <c r="T812" s="380">
        <f>(Table6[[#This Row],[Fault Clearance time]]-Table6[[#This Row],[Fault Start TimeStamp]])*24</f>
        <v>2.4833333333333325</v>
      </c>
      <c r="U812" s="364" t="s">
        <v>1257</v>
      </c>
      <c r="V812" s="364" t="s">
        <v>463</v>
      </c>
      <c r="W812" s="355">
        <f>Table6[[#This Row],[Breakdown Time]]*(1/39)</f>
        <v>6.3675213675213657E-2</v>
      </c>
      <c r="X812" s="353" t="s">
        <v>465</v>
      </c>
      <c r="Y812" s="364" t="s">
        <v>115</v>
      </c>
      <c r="Z812" s="121">
        <v>28803</v>
      </c>
      <c r="AA812" s="123">
        <f>IFERROR((Table6[[#This Row],[Paired WTG Generation for loss calculation]]/24)*Table6[[#This Row],[Breakdown Time]],"")</f>
        <v>2980.3104166666658</v>
      </c>
      <c r="AB812" s="121" t="s">
        <v>478</v>
      </c>
    </row>
    <row r="813" spans="1:28">
      <c r="A813" s="121">
        <f t="shared" si="12"/>
        <v>812</v>
      </c>
      <c r="B813" s="379">
        <f>YEAR(Table6[[#This Row],[Date]])+IF(MONTH(Table6[[#This Row],[Date]])&gt;=4,1,0)</f>
        <v>2026</v>
      </c>
      <c r="C813" s="39">
        <f>YEAR(Table6[[#This Row],[Date]])</f>
        <v>2025</v>
      </c>
      <c r="D813" s="39" t="s">
        <v>490</v>
      </c>
      <c r="E813" s="135">
        <f>Table6[[#This Row],[Date]]-DAY(Table6[[#This Row],[Date]])+1</f>
        <v>45809</v>
      </c>
      <c r="F813" s="134">
        <v>45826</v>
      </c>
      <c r="G813" s="121" t="s">
        <v>141</v>
      </c>
      <c r="H813" s="39" t="str">
        <f>_xlfn.XLOOKUP(Table6[[#This Row],[Affected WTG]],'Basic Data'!$A:$A,'Basic Data'!$B:$B)</f>
        <v>PWEGPL</v>
      </c>
      <c r="I813" s="39" t="str">
        <f>_xlfn.XLOOKUP(Table6[[#This Row],[Affected WTG]],'Basic Data'!$A:$A,'Basic Data'!$C:$C)</f>
        <v>MSEDCL</v>
      </c>
      <c r="J813" s="363">
        <f>IFERROR(VLOOKUP(Table6[[#This Row],[Affected WTG]],'Basic Data'!$A$3:$E$56,5,0),"")</f>
        <v>2.564102564102564E-2</v>
      </c>
      <c r="K813" s="121">
        <v>404</v>
      </c>
      <c r="L813" s="39" t="str">
        <f>IFERROR(VLOOKUP(Table6[[#This Row],[Error Code]],'Basic Data'!$T:$U,2,0),"")</f>
        <v>High Gearbox Bearing Temperature</v>
      </c>
      <c r="M813" s="364" t="s">
        <v>462</v>
      </c>
      <c r="O813" s="346">
        <v>0.72986111111111107</v>
      </c>
      <c r="P813" s="346">
        <v>0.7416666666666667</v>
      </c>
      <c r="Q813" s="346">
        <v>0.77777777777777779</v>
      </c>
      <c r="R813" s="366">
        <f>IF(Table6[[#This Row],[Work Start TimeStamp]]="","",(Table6[[#This Row],[Work Start TimeStamp]]-Table6[[#This Row],[Fault Start TimeStamp]])*24)</f>
        <v>0.28333333333333499</v>
      </c>
      <c r="S813" s="377">
        <f>(Table6[[#This Row],[Fault Clearance time]]-Table6[[#This Row],[Work Start TimeStamp]])*24</f>
        <v>0.86666666666666625</v>
      </c>
      <c r="T813" s="380">
        <f>(Table6[[#This Row],[Fault Clearance time]]-Table6[[#This Row],[Fault Start TimeStamp]])*24</f>
        <v>1.1500000000000012</v>
      </c>
      <c r="U813" s="364" t="s">
        <v>1258</v>
      </c>
      <c r="V813" s="364" t="s">
        <v>463</v>
      </c>
      <c r="W813" s="355">
        <f>Table6[[#This Row],[Breakdown Time]]*(1/39)</f>
        <v>2.9487179487179518E-2</v>
      </c>
      <c r="X813" s="353" t="s">
        <v>465</v>
      </c>
      <c r="Y813" s="364" t="s">
        <v>143</v>
      </c>
      <c r="Z813" s="121">
        <v>27943</v>
      </c>
      <c r="AA813" s="123">
        <f>IFERROR((Table6[[#This Row],[Paired WTG Generation for loss calculation]]/24)*Table6[[#This Row],[Breakdown Time]],"")</f>
        <v>1338.9354166666683</v>
      </c>
      <c r="AB813" s="121" t="s">
        <v>478</v>
      </c>
    </row>
    <row r="814" spans="1:28">
      <c r="A814" s="121">
        <f t="shared" si="12"/>
        <v>813</v>
      </c>
      <c r="B814" s="379">
        <f>YEAR(Table6[[#This Row],[Date]])+IF(MONTH(Table6[[#This Row],[Date]])&gt;=4,1,0)</f>
        <v>2026</v>
      </c>
      <c r="C814" s="39">
        <f>YEAR(Table6[[#This Row],[Date]])</f>
        <v>2025</v>
      </c>
      <c r="D814" s="39" t="s">
        <v>490</v>
      </c>
      <c r="E814" s="135">
        <f>Table6[[#This Row],[Date]]-DAY(Table6[[#This Row],[Date]])+1</f>
        <v>45809</v>
      </c>
      <c r="F814" s="134">
        <v>45826</v>
      </c>
      <c r="G814" s="121" t="s">
        <v>148</v>
      </c>
      <c r="H814" s="39" t="str">
        <f>_xlfn.XLOOKUP(Table6[[#This Row],[Affected WTG]],'Basic Data'!$A:$A,'Basic Data'!$B:$B)</f>
        <v>PWEGPL</v>
      </c>
      <c r="I814" s="39" t="str">
        <f>_xlfn.XLOOKUP(Table6[[#This Row],[Affected WTG]],'Basic Data'!$A:$A,'Basic Data'!$C:$C)</f>
        <v>MSEDCL</v>
      </c>
      <c r="J814" s="363">
        <f>IFERROR(VLOOKUP(Table6[[#This Row],[Affected WTG]],'Basic Data'!$A$3:$E$56,5,0),"")</f>
        <v>2.564102564102564E-2</v>
      </c>
      <c r="K814" s="121">
        <v>2100</v>
      </c>
      <c r="L814" s="39" t="str">
        <f>IFERROR(VLOOKUP(Table6[[#This Row],[Error Code]],'Basic Data'!$T:$U,2,0),"")</f>
        <v>PLC Voltage Recovery</v>
      </c>
      <c r="M814" s="364" t="s">
        <v>462</v>
      </c>
      <c r="O814" s="346">
        <v>0.53402777777777777</v>
      </c>
      <c r="P814" s="346">
        <v>0.5395833333333333</v>
      </c>
      <c r="Q814" s="346">
        <v>0.54097222222222219</v>
      </c>
      <c r="R814" s="366">
        <f>IF(Table6[[#This Row],[Work Start TimeStamp]]="","",(Table6[[#This Row],[Work Start TimeStamp]]-Table6[[#This Row],[Fault Start TimeStamp]])*24)</f>
        <v>0.13333333333333286</v>
      </c>
      <c r="S814" s="377">
        <f>(Table6[[#This Row],[Fault Clearance time]]-Table6[[#This Row],[Work Start TimeStamp]])*24</f>
        <v>3.3333333333333215E-2</v>
      </c>
      <c r="T814" s="380">
        <f>(Table6[[#This Row],[Fault Clearance time]]-Table6[[#This Row],[Fault Start TimeStamp]])*24</f>
        <v>0.16666666666666607</v>
      </c>
      <c r="U814" s="364" t="s">
        <v>493</v>
      </c>
      <c r="V814" s="364" t="s">
        <v>463</v>
      </c>
      <c r="W814" s="355">
        <f>Table6[[#This Row],[Breakdown Time]]*(1/39)</f>
        <v>4.2735042735042583E-3</v>
      </c>
      <c r="X814" s="353" t="s">
        <v>465</v>
      </c>
      <c r="Y814" s="364" t="s">
        <v>149</v>
      </c>
      <c r="Z814" s="121">
        <v>28732</v>
      </c>
      <c r="AA814" s="123">
        <f>IFERROR((Table6[[#This Row],[Paired WTG Generation for loss calculation]]/24)*Table6[[#This Row],[Breakdown Time]],"")</f>
        <v>199.52777777777709</v>
      </c>
      <c r="AB814" s="121" t="s">
        <v>478</v>
      </c>
    </row>
    <row r="815" spans="1:28">
      <c r="A815" s="121">
        <f t="shared" si="12"/>
        <v>814</v>
      </c>
      <c r="B815" s="379">
        <f>YEAR(Table6[[#This Row],[Date]])+IF(MONTH(Table6[[#This Row],[Date]])&gt;=4,1,0)</f>
        <v>2026</v>
      </c>
      <c r="C815" s="39">
        <f>YEAR(Table6[[#This Row],[Date]])</f>
        <v>2025</v>
      </c>
      <c r="D815" s="39" t="s">
        <v>490</v>
      </c>
      <c r="E815" s="135">
        <f>Table6[[#This Row],[Date]]-DAY(Table6[[#This Row],[Date]])+1</f>
        <v>45809</v>
      </c>
      <c r="F815" s="134">
        <v>45826</v>
      </c>
      <c r="G815" s="121" t="s">
        <v>150</v>
      </c>
      <c r="H815" s="39" t="str">
        <f>_xlfn.XLOOKUP(Table6[[#This Row],[Affected WTG]],'Basic Data'!$A:$A,'Basic Data'!$B:$B)</f>
        <v>PWEGPL</v>
      </c>
      <c r="I815" s="39" t="str">
        <f>_xlfn.XLOOKUP(Table6[[#This Row],[Affected WTG]],'Basic Data'!$A:$A,'Basic Data'!$C:$C)</f>
        <v>MSEDCL</v>
      </c>
      <c r="J815" s="363">
        <f>IFERROR(VLOOKUP(Table6[[#This Row],[Affected WTG]],'Basic Data'!$A$3:$E$56,5,0),"")</f>
        <v>2.564102564102564E-2</v>
      </c>
      <c r="K815" s="121">
        <v>2100</v>
      </c>
      <c r="L815" s="39" t="str">
        <f>IFERROR(VLOOKUP(Table6[[#This Row],[Error Code]],'Basic Data'!$T:$U,2,0),"")</f>
        <v>PLC Voltage Recovery</v>
      </c>
      <c r="M815" s="364" t="s">
        <v>462</v>
      </c>
      <c r="O815" s="346">
        <v>0.53402777777777777</v>
      </c>
      <c r="P815" s="346">
        <v>0.54652777777777772</v>
      </c>
      <c r="Q815" s="346">
        <v>0.54861111111111116</v>
      </c>
      <c r="R815" s="366">
        <f>IF(Table6[[#This Row],[Work Start TimeStamp]]="","",(Table6[[#This Row],[Work Start TimeStamp]]-Table6[[#This Row],[Fault Start TimeStamp]])*24)</f>
        <v>0.29999999999999893</v>
      </c>
      <c r="S815" s="377">
        <f>(Table6[[#This Row],[Fault Clearance time]]-Table6[[#This Row],[Work Start TimeStamp]])*24</f>
        <v>5.0000000000002487E-2</v>
      </c>
      <c r="T815" s="380">
        <f>(Table6[[#This Row],[Fault Clearance time]]-Table6[[#This Row],[Fault Start TimeStamp]])*24</f>
        <v>0.35000000000000142</v>
      </c>
      <c r="U815" s="364" t="s">
        <v>493</v>
      </c>
      <c r="V815" s="364" t="s">
        <v>463</v>
      </c>
      <c r="W815" s="355">
        <f>Table6[[#This Row],[Breakdown Time]]*(1/39)</f>
        <v>8.9743589743590101E-3</v>
      </c>
      <c r="X815" s="353" t="s">
        <v>465</v>
      </c>
      <c r="Y815" s="364" t="s">
        <v>149</v>
      </c>
      <c r="Z815" s="121">
        <v>28732</v>
      </c>
      <c r="AA815" s="123">
        <f>IFERROR((Table6[[#This Row],[Paired WTG Generation for loss calculation]]/24)*Table6[[#This Row],[Breakdown Time]],"")</f>
        <v>419.00833333333509</v>
      </c>
      <c r="AB815" s="121" t="s">
        <v>478</v>
      </c>
    </row>
    <row r="816" spans="1:28">
      <c r="A816" s="121">
        <f t="shared" si="12"/>
        <v>815</v>
      </c>
      <c r="B816" s="379">
        <f>YEAR(Table6[[#This Row],[Date]])+IF(MONTH(Table6[[#This Row],[Date]])&gt;=4,1,0)</f>
        <v>2026</v>
      </c>
      <c r="C816" s="39">
        <f>YEAR(Table6[[#This Row],[Date]])</f>
        <v>2025</v>
      </c>
      <c r="D816" s="39" t="s">
        <v>490</v>
      </c>
      <c r="E816" s="135">
        <f>Table6[[#This Row],[Date]]-DAY(Table6[[#This Row],[Date]])+1</f>
        <v>45809</v>
      </c>
      <c r="F816" s="134">
        <v>45826</v>
      </c>
      <c r="G816" s="121" t="s">
        <v>151</v>
      </c>
      <c r="H816" s="39" t="str">
        <f>_xlfn.XLOOKUP(Table6[[#This Row],[Affected WTG]],'Basic Data'!$A:$A,'Basic Data'!$B:$B)</f>
        <v>PWEGPL</v>
      </c>
      <c r="I816" s="39" t="str">
        <f>_xlfn.XLOOKUP(Table6[[#This Row],[Affected WTG]],'Basic Data'!$A:$A,'Basic Data'!$C:$C)</f>
        <v>MSEDCL</v>
      </c>
      <c r="J816" s="363">
        <f>IFERROR(VLOOKUP(Table6[[#This Row],[Affected WTG]],'Basic Data'!$A$3:$E$56,5,0),"")</f>
        <v>2.564102564102564E-2</v>
      </c>
      <c r="K816" s="121">
        <v>2100</v>
      </c>
      <c r="L816" s="39" t="str">
        <f>IFERROR(VLOOKUP(Table6[[#This Row],[Error Code]],'Basic Data'!$T:$U,2,0),"")</f>
        <v>PLC Voltage Recovery</v>
      </c>
      <c r="M816" s="364" t="s">
        <v>462</v>
      </c>
      <c r="O816" s="346">
        <v>0.53402777777777777</v>
      </c>
      <c r="P816" s="346">
        <v>0.55347222222222225</v>
      </c>
      <c r="Q816" s="346">
        <v>0.5541666666666667</v>
      </c>
      <c r="R816" s="366">
        <f>IF(Table6[[#This Row],[Work Start TimeStamp]]="","",(Table6[[#This Row],[Work Start TimeStamp]]-Table6[[#This Row],[Fault Start TimeStamp]])*24)</f>
        <v>0.46666666666666767</v>
      </c>
      <c r="S816" s="377">
        <f>(Table6[[#This Row],[Fault Clearance time]]-Table6[[#This Row],[Work Start TimeStamp]])*24</f>
        <v>1.6666666666666607E-2</v>
      </c>
      <c r="T816" s="380">
        <f>(Table6[[#This Row],[Fault Clearance time]]-Table6[[#This Row],[Fault Start TimeStamp]])*24</f>
        <v>0.48333333333333428</v>
      </c>
      <c r="U816" s="364" t="s">
        <v>493</v>
      </c>
      <c r="V816" s="364" t="s">
        <v>463</v>
      </c>
      <c r="W816" s="355">
        <f>Table6[[#This Row],[Breakdown Time]]*(1/39)</f>
        <v>1.2393162393162417E-2</v>
      </c>
      <c r="X816" s="353" t="s">
        <v>465</v>
      </c>
      <c r="Y816" s="364" t="s">
        <v>153</v>
      </c>
      <c r="Z816" s="121">
        <v>28381</v>
      </c>
      <c r="AA816" s="123">
        <f>IFERROR((Table6[[#This Row],[Paired WTG Generation for loss calculation]]/24)*Table6[[#This Row],[Breakdown Time]],"")</f>
        <v>571.5618055555567</v>
      </c>
      <c r="AB816" s="121" t="s">
        <v>478</v>
      </c>
    </row>
    <row r="817" spans="1:28">
      <c r="A817" s="121">
        <f t="shared" si="12"/>
        <v>816</v>
      </c>
      <c r="B817" s="379">
        <f>YEAR(Table6[[#This Row],[Date]])+IF(MONTH(Table6[[#This Row],[Date]])&gt;=4,1,0)</f>
        <v>2026</v>
      </c>
      <c r="C817" s="39">
        <f>YEAR(Table6[[#This Row],[Date]])</f>
        <v>2025</v>
      </c>
      <c r="D817" s="39" t="s">
        <v>490</v>
      </c>
      <c r="E817" s="135">
        <f>Table6[[#This Row],[Date]]-DAY(Table6[[#This Row],[Date]])+1</f>
        <v>45809</v>
      </c>
      <c r="F817" s="134">
        <v>45826</v>
      </c>
      <c r="G817" s="121" t="s">
        <v>139</v>
      </c>
      <c r="H817" s="39" t="str">
        <f>_xlfn.XLOOKUP(Table6[[#This Row],[Affected WTG]],'Basic Data'!$A:$A,'Basic Data'!$B:$B)</f>
        <v>PWEGPL</v>
      </c>
      <c r="I817" s="39" t="str">
        <f>_xlfn.XLOOKUP(Table6[[#This Row],[Affected WTG]],'Basic Data'!$A:$A,'Basic Data'!$C:$C)</f>
        <v>MSEDCL</v>
      </c>
      <c r="J817" s="363">
        <f>IFERROR(VLOOKUP(Table6[[#This Row],[Affected WTG]],'Basic Data'!$A$3:$E$56,5,0),"")</f>
        <v>2.564102564102564E-2</v>
      </c>
      <c r="K817" s="121">
        <v>2100</v>
      </c>
      <c r="L817" s="39" t="str">
        <f>IFERROR(VLOOKUP(Table6[[#This Row],[Error Code]],'Basic Data'!$T:$U,2,0),"")</f>
        <v>PLC Voltage Recovery</v>
      </c>
      <c r="M817" s="364" t="s">
        <v>462</v>
      </c>
      <c r="O817" s="346">
        <v>0.53402777777777777</v>
      </c>
      <c r="P817" s="346">
        <v>0.55902777777777779</v>
      </c>
      <c r="Q817" s="346">
        <v>0.55972222222222223</v>
      </c>
      <c r="R817" s="366">
        <f>IF(Table6[[#This Row],[Work Start TimeStamp]]="","",(Table6[[#This Row],[Work Start TimeStamp]]-Table6[[#This Row],[Fault Start TimeStamp]])*24)</f>
        <v>0.60000000000000053</v>
      </c>
      <c r="S817" s="377">
        <f>(Table6[[#This Row],[Fault Clearance time]]-Table6[[#This Row],[Work Start TimeStamp]])*24</f>
        <v>1.6666666666666607E-2</v>
      </c>
      <c r="T817" s="380">
        <f>(Table6[[#This Row],[Fault Clearance time]]-Table6[[#This Row],[Fault Start TimeStamp]])*24</f>
        <v>0.61666666666666714</v>
      </c>
      <c r="U817" s="364" t="s">
        <v>493</v>
      </c>
      <c r="V817" s="364" t="s">
        <v>463</v>
      </c>
      <c r="W817" s="355">
        <f>Table6[[#This Row],[Breakdown Time]]*(1/39)</f>
        <v>1.5811965811965825E-2</v>
      </c>
      <c r="X817" s="353" t="s">
        <v>465</v>
      </c>
      <c r="Y817" s="364" t="s">
        <v>153</v>
      </c>
      <c r="Z817" s="121">
        <v>28381</v>
      </c>
      <c r="AA817" s="123">
        <f>IFERROR((Table6[[#This Row],[Paired WTG Generation for loss calculation]]/24)*Table6[[#This Row],[Breakdown Time]],"")</f>
        <v>729.23402777777835</v>
      </c>
      <c r="AB817" s="121" t="s">
        <v>478</v>
      </c>
    </row>
    <row r="818" spans="1:28">
      <c r="A818" s="121">
        <f t="shared" si="12"/>
        <v>817</v>
      </c>
      <c r="B818" s="379">
        <f>YEAR(Table6[[#This Row],[Date]])+IF(MONTH(Table6[[#This Row],[Date]])&gt;=4,1,0)</f>
        <v>2026</v>
      </c>
      <c r="C818" s="39">
        <f>YEAR(Table6[[#This Row],[Date]])</f>
        <v>2025</v>
      </c>
      <c r="D818" s="39" t="s">
        <v>490</v>
      </c>
      <c r="E818" s="135">
        <f>Table6[[#This Row],[Date]]-DAY(Table6[[#This Row],[Date]])+1</f>
        <v>45809</v>
      </c>
      <c r="F818" s="134">
        <v>45826</v>
      </c>
      <c r="G818" s="121" t="s">
        <v>141</v>
      </c>
      <c r="H818" s="39" t="str">
        <f>_xlfn.XLOOKUP(Table6[[#This Row],[Affected WTG]],'Basic Data'!$A:$A,'Basic Data'!$B:$B)</f>
        <v>PWEGPL</v>
      </c>
      <c r="I818" s="39" t="str">
        <f>_xlfn.XLOOKUP(Table6[[#This Row],[Affected WTG]],'Basic Data'!$A:$A,'Basic Data'!$C:$C)</f>
        <v>MSEDCL</v>
      </c>
      <c r="J818" s="363">
        <f>IFERROR(VLOOKUP(Table6[[#This Row],[Affected WTG]],'Basic Data'!$A$3:$E$56,5,0),"")</f>
        <v>2.564102564102564E-2</v>
      </c>
      <c r="K818" s="121">
        <v>813</v>
      </c>
      <c r="L818" s="39" t="str">
        <f>IFERROR(VLOOKUP(Table6[[#This Row],[Error Code]],'Basic Data'!$T:$U,2,0),"")</f>
        <v>Low Pressure Of Emergency Accumulators</v>
      </c>
      <c r="M818" s="364" t="s">
        <v>462</v>
      </c>
      <c r="O818" s="346">
        <v>0</v>
      </c>
      <c r="P818" s="346">
        <v>0</v>
      </c>
      <c r="Q818" s="346">
        <v>6.9444444444444448E-2</v>
      </c>
      <c r="R818" s="366">
        <f>IF(Table6[[#This Row],[Work Start TimeStamp]]="","",(Table6[[#This Row],[Work Start TimeStamp]]-Table6[[#This Row],[Fault Start TimeStamp]])*24)</f>
        <v>0</v>
      </c>
      <c r="S818" s="377">
        <f>(Table6[[#This Row],[Fault Clearance time]]-Table6[[#This Row],[Work Start TimeStamp]])*24</f>
        <v>1.6666666666666667</v>
      </c>
      <c r="T818" s="380">
        <f>(Table6[[#This Row],[Fault Clearance time]]-Table6[[#This Row],[Fault Start TimeStamp]])*24</f>
        <v>1.6666666666666667</v>
      </c>
      <c r="U818" s="364" t="s">
        <v>1260</v>
      </c>
      <c r="V818" s="364" t="s">
        <v>463</v>
      </c>
      <c r="W818" s="355">
        <f>Table6[[#This Row],[Breakdown Time]]*(1/39)</f>
        <v>4.2735042735042736E-2</v>
      </c>
      <c r="X818" s="353" t="s">
        <v>465</v>
      </c>
      <c r="Y818" s="364" t="s">
        <v>143</v>
      </c>
      <c r="Z818" s="121">
        <v>27943</v>
      </c>
      <c r="AA818" s="123">
        <f>IFERROR((Table6[[#This Row],[Paired WTG Generation for loss calculation]]/24)*Table6[[#This Row],[Breakdown Time]],"")</f>
        <v>1940.4861111111113</v>
      </c>
      <c r="AB818" s="121" t="s">
        <v>478</v>
      </c>
    </row>
    <row r="819" spans="1:28">
      <c r="A819" s="121">
        <f t="shared" si="12"/>
        <v>818</v>
      </c>
      <c r="B819" s="379">
        <f>YEAR(Table6[[#This Row],[Date]])+IF(MONTH(Table6[[#This Row],[Date]])&gt;=4,1,0)</f>
        <v>2026</v>
      </c>
      <c r="C819" s="39">
        <f>YEAR(Table6[[#This Row],[Date]])</f>
        <v>2025</v>
      </c>
      <c r="D819" s="39" t="s">
        <v>490</v>
      </c>
      <c r="E819" s="135">
        <f>Table6[[#This Row],[Date]]-DAY(Table6[[#This Row],[Date]])+1</f>
        <v>45809</v>
      </c>
      <c r="F819" s="134">
        <v>45827</v>
      </c>
      <c r="G819" s="121" t="s">
        <v>144</v>
      </c>
      <c r="H819" s="39" t="str">
        <f>_xlfn.XLOOKUP(Table6[[#This Row],[Affected WTG]],'Basic Data'!$A:$A,'Basic Data'!$B:$B)</f>
        <v>PWEGPL</v>
      </c>
      <c r="I819" s="39" t="str">
        <f>_xlfn.XLOOKUP(Table6[[#This Row],[Affected WTG]],'Basic Data'!$A:$A,'Basic Data'!$C:$C)</f>
        <v>MSEDCL</v>
      </c>
      <c r="J819" s="363">
        <f>IFERROR(VLOOKUP(Table6[[#This Row],[Affected WTG]],'Basic Data'!$A$3:$E$56,5,0),"")</f>
        <v>2.564102564102564E-2</v>
      </c>
      <c r="K819" s="121" t="s">
        <v>492</v>
      </c>
      <c r="L819" s="39" t="str">
        <f>IFERROR(VLOOKUP(Table6[[#This Row],[Error Code]],'Basic Data'!$T:$U,2,0),"")</f>
        <v>Manual Stop - Safety Related</v>
      </c>
      <c r="M819" s="364" t="s">
        <v>481</v>
      </c>
      <c r="O819" s="346">
        <v>0</v>
      </c>
      <c r="P819" s="346">
        <v>0.99998842592592596</v>
      </c>
      <c r="Q819" s="346">
        <v>0.99998842592592596</v>
      </c>
      <c r="R819" s="366">
        <f>IF(Table6[[#This Row],[Work Start TimeStamp]]="","",(Table6[[#This Row],[Work Start TimeStamp]]-Table6[[#This Row],[Fault Start TimeStamp]])*24)</f>
        <v>23.999722222222225</v>
      </c>
      <c r="S819" s="377">
        <f>(Table6[[#This Row],[Fault Clearance time]]-Table6[[#This Row],[Work Start TimeStamp]])*24</f>
        <v>0</v>
      </c>
      <c r="T819" s="380">
        <f>(Table6[[#This Row],[Fault Clearance time]]-Table6[[#This Row],[Fault Start TimeStamp]])*24</f>
        <v>23.999722222222225</v>
      </c>
      <c r="U819" s="364" t="s">
        <v>498</v>
      </c>
      <c r="V819" s="364" t="s">
        <v>473</v>
      </c>
      <c r="W819" s="355">
        <f>Table6[[#This Row],[Breakdown Time]]*(1/39)</f>
        <v>0.61537749287749288</v>
      </c>
      <c r="X819" s="353" t="s">
        <v>468</v>
      </c>
      <c r="Y819" s="364" t="s">
        <v>143</v>
      </c>
      <c r="Z819" s="121">
        <v>24823</v>
      </c>
      <c r="AA819" s="123">
        <f>IFERROR((Table6[[#This Row],[Paired WTG Generation for loss calculation]]/24)*Table6[[#This Row],[Breakdown Time]],"")</f>
        <v>24822.712696759263</v>
      </c>
      <c r="AB819" s="121" t="s">
        <v>478</v>
      </c>
    </row>
    <row r="820" spans="1:28">
      <c r="A820" s="121">
        <f t="shared" si="12"/>
        <v>819</v>
      </c>
      <c r="B820" s="379">
        <f>YEAR(Table6[[#This Row],[Date]])+IF(MONTH(Table6[[#This Row],[Date]])&gt;=4,1,0)</f>
        <v>2026</v>
      </c>
      <c r="C820" s="39">
        <f>YEAR(Table6[[#This Row],[Date]])</f>
        <v>2025</v>
      </c>
      <c r="D820" s="39" t="s">
        <v>490</v>
      </c>
      <c r="E820" s="135">
        <f>Table6[[#This Row],[Date]]-DAY(Table6[[#This Row],[Date]])+1</f>
        <v>45809</v>
      </c>
      <c r="F820" s="134">
        <v>45827</v>
      </c>
      <c r="G820" s="121" t="s">
        <v>142</v>
      </c>
      <c r="H820" s="39" t="str">
        <f>_xlfn.XLOOKUP(Table6[[#This Row],[Affected WTG]],'Basic Data'!$A:$A,'Basic Data'!$B:$B)</f>
        <v>PWEGPL</v>
      </c>
      <c r="I820" s="39" t="str">
        <f>_xlfn.XLOOKUP(Table6[[#This Row],[Affected WTG]],'Basic Data'!$A:$A,'Basic Data'!$C:$C)</f>
        <v>MSEDCL</v>
      </c>
      <c r="J820" s="363">
        <f>IFERROR(VLOOKUP(Table6[[#This Row],[Affected WTG]],'Basic Data'!$A$3:$E$56,5,0),"")</f>
        <v>2.564102564102564E-2</v>
      </c>
      <c r="K820" s="121" t="s">
        <v>492</v>
      </c>
      <c r="L820" s="39" t="str">
        <f>IFERROR(VLOOKUP(Table6[[#This Row],[Error Code]],'Basic Data'!$T:$U,2,0),"")</f>
        <v>Manual Stop - Safety Related</v>
      </c>
      <c r="M820" s="364" t="s">
        <v>481</v>
      </c>
      <c r="O820" s="346">
        <v>0</v>
      </c>
      <c r="P820" s="346">
        <v>0.99998842592592596</v>
      </c>
      <c r="Q820" s="346">
        <v>0.99998842592592596</v>
      </c>
      <c r="R820" s="366">
        <f>IF(Table6[[#This Row],[Work Start TimeStamp]]="","",(Table6[[#This Row],[Work Start TimeStamp]]-Table6[[#This Row],[Fault Start TimeStamp]])*24)</f>
        <v>23.999722222222225</v>
      </c>
      <c r="S820" s="377">
        <f>(Table6[[#This Row],[Fault Clearance time]]-Table6[[#This Row],[Work Start TimeStamp]])*24</f>
        <v>0</v>
      </c>
      <c r="T820" s="380">
        <f>(Table6[[#This Row],[Fault Clearance time]]-Table6[[#This Row],[Fault Start TimeStamp]])*24</f>
        <v>23.999722222222225</v>
      </c>
      <c r="U820" s="364" t="s">
        <v>498</v>
      </c>
      <c r="V820" s="364" t="s">
        <v>473</v>
      </c>
      <c r="W820" s="355">
        <f>Table6[[#This Row],[Breakdown Time]]*(1/39)</f>
        <v>0.61537749287749288</v>
      </c>
      <c r="X820" s="353" t="s">
        <v>468</v>
      </c>
      <c r="Y820" s="364" t="s">
        <v>143</v>
      </c>
      <c r="Z820" s="121">
        <v>24823</v>
      </c>
      <c r="AA820" s="123">
        <f>IFERROR((Table6[[#This Row],[Paired WTG Generation for loss calculation]]/24)*Table6[[#This Row],[Breakdown Time]],"")</f>
        <v>24822.712696759263</v>
      </c>
      <c r="AB820" s="121" t="s">
        <v>478</v>
      </c>
    </row>
    <row r="821" spans="1:28">
      <c r="A821" s="121">
        <f t="shared" si="12"/>
        <v>820</v>
      </c>
      <c r="B821" s="379">
        <f>YEAR(Table6[[#This Row],[Date]])+IF(MONTH(Table6[[#This Row],[Date]])&gt;=4,1,0)</f>
        <v>2026</v>
      </c>
      <c r="C821" s="39">
        <f>YEAR(Table6[[#This Row],[Date]])</f>
        <v>2025</v>
      </c>
      <c r="D821" s="39" t="s">
        <v>490</v>
      </c>
      <c r="E821" s="135">
        <f>Table6[[#This Row],[Date]]-DAY(Table6[[#This Row],[Date]])+1</f>
        <v>45809</v>
      </c>
      <c r="F821" s="134">
        <v>45827</v>
      </c>
      <c r="G821" s="121" t="s">
        <v>131</v>
      </c>
      <c r="H821" s="39" t="str">
        <f>_xlfn.XLOOKUP(Table6[[#This Row],[Affected WTG]],'Basic Data'!$A:$A,'Basic Data'!$B:$B)</f>
        <v>PWEGPL</v>
      </c>
      <c r="I821" s="39" t="str">
        <f>_xlfn.XLOOKUP(Table6[[#This Row],[Affected WTG]],'Basic Data'!$A:$A,'Basic Data'!$C:$C)</f>
        <v>MSEDCL</v>
      </c>
      <c r="J821" s="363">
        <f>IFERROR(VLOOKUP(Table6[[#This Row],[Affected WTG]],'Basic Data'!$A$3:$E$56,5,0),"")</f>
        <v>2.564102564102564E-2</v>
      </c>
      <c r="K821" s="121">
        <v>5216</v>
      </c>
      <c r="L821" s="39" t="str">
        <f>IFERROR(VLOOKUP(Table6[[#This Row],[Error Code]],'Basic Data'!$T:$U,2,0),"")</f>
        <v>Grid Voltage Failure</v>
      </c>
      <c r="M821" s="364" t="s">
        <v>462</v>
      </c>
      <c r="O821" s="346">
        <v>0</v>
      </c>
      <c r="P821" s="346">
        <v>0.99998842592592596</v>
      </c>
      <c r="Q821" s="346">
        <v>0.99998842592592596</v>
      </c>
      <c r="R821" s="366">
        <f>IF(Table6[[#This Row],[Work Start TimeStamp]]="","",(Table6[[#This Row],[Work Start TimeStamp]]-Table6[[#This Row],[Fault Start TimeStamp]])*24)</f>
        <v>23.999722222222225</v>
      </c>
      <c r="S821" s="377">
        <f>(Table6[[#This Row],[Fault Clearance time]]-Table6[[#This Row],[Work Start TimeStamp]])*24</f>
        <v>0</v>
      </c>
      <c r="T821" s="380">
        <f>(Table6[[#This Row],[Fault Clearance time]]-Table6[[#This Row],[Fault Start TimeStamp]])*24</f>
        <v>23.999722222222225</v>
      </c>
      <c r="U821" s="364" t="s">
        <v>1247</v>
      </c>
      <c r="V821" s="364" t="s">
        <v>473</v>
      </c>
      <c r="W821" s="355">
        <f>Table6[[#This Row],[Breakdown Time]]*(1/39)</f>
        <v>0.61537749287749288</v>
      </c>
      <c r="X821" s="353" t="s">
        <v>465</v>
      </c>
      <c r="Y821" s="364" t="s">
        <v>133</v>
      </c>
      <c r="Z821" s="121">
        <v>25458</v>
      </c>
      <c r="AA821" s="123">
        <f>IFERROR((Table6[[#This Row],[Paired WTG Generation for loss calculation]]/24)*Table6[[#This Row],[Breakdown Time]],"")</f>
        <v>25457.705347222225</v>
      </c>
      <c r="AB821" s="121" t="s">
        <v>478</v>
      </c>
    </row>
    <row r="822" spans="1:28">
      <c r="A822" s="121">
        <f t="shared" si="12"/>
        <v>821</v>
      </c>
      <c r="B822" s="379">
        <f>YEAR(Table6[[#This Row],[Date]])+IF(MONTH(Table6[[#This Row],[Date]])&gt;=4,1,0)</f>
        <v>2026</v>
      </c>
      <c r="C822" s="39">
        <f>YEAR(Table6[[#This Row],[Date]])</f>
        <v>2025</v>
      </c>
      <c r="D822" s="39" t="s">
        <v>490</v>
      </c>
      <c r="E822" s="135">
        <f>Table6[[#This Row],[Date]]-DAY(Table6[[#This Row],[Date]])+1</f>
        <v>45809</v>
      </c>
      <c r="F822" s="134">
        <v>45827</v>
      </c>
      <c r="G822" s="121" t="s">
        <v>141</v>
      </c>
      <c r="H822" s="39" t="str">
        <f>_xlfn.XLOOKUP(Table6[[#This Row],[Affected WTG]],'Basic Data'!$A:$A,'Basic Data'!$B:$B)</f>
        <v>PWEGPL</v>
      </c>
      <c r="I822" s="39" t="str">
        <f>_xlfn.XLOOKUP(Table6[[#This Row],[Affected WTG]],'Basic Data'!$A:$A,'Basic Data'!$C:$C)</f>
        <v>MSEDCL</v>
      </c>
      <c r="J822" s="363">
        <f>IFERROR(VLOOKUP(Table6[[#This Row],[Affected WTG]],'Basic Data'!$A$3:$E$56,5,0),"")</f>
        <v>2.564102564102564E-2</v>
      </c>
      <c r="K822" s="121" t="s">
        <v>466</v>
      </c>
      <c r="L822" s="39" t="str">
        <f>IFERROR(VLOOKUP(Table6[[#This Row],[Error Code]],'Basic Data'!$T:$U,2,0),"")</f>
        <v>Manual Stop</v>
      </c>
      <c r="M822" s="364" t="s">
        <v>479</v>
      </c>
      <c r="O822" s="346">
        <v>4.3749999999999997E-2</v>
      </c>
      <c r="P822" s="346">
        <v>4.3749999999999997E-2</v>
      </c>
      <c r="Q822" s="346">
        <v>0.15</v>
      </c>
      <c r="R822" s="366">
        <f>IF(Table6[[#This Row],[Work Start TimeStamp]]="","",(Table6[[#This Row],[Work Start TimeStamp]]-Table6[[#This Row],[Fault Start TimeStamp]])*24)</f>
        <v>0</v>
      </c>
      <c r="S822" s="377">
        <f>(Table6[[#This Row],[Fault Clearance time]]-Table6[[#This Row],[Work Start TimeStamp]])*24</f>
        <v>2.5499999999999998</v>
      </c>
      <c r="T822" s="380">
        <f>(Table6[[#This Row],[Fault Clearance time]]-Table6[[#This Row],[Fault Start TimeStamp]])*24</f>
        <v>2.5499999999999998</v>
      </c>
      <c r="U822" s="364" t="s">
        <v>1263</v>
      </c>
      <c r="V822" s="364" t="s">
        <v>463</v>
      </c>
      <c r="W822" s="355">
        <f>Table6[[#This Row],[Breakdown Time]]*(1/39)</f>
        <v>6.5384615384615374E-2</v>
      </c>
      <c r="X822" s="353" t="s">
        <v>464</v>
      </c>
      <c r="Y822" s="364" t="s">
        <v>143</v>
      </c>
      <c r="Z822" s="121">
        <v>24823</v>
      </c>
      <c r="AA822" s="123">
        <f>IFERROR((Table6[[#This Row],[Paired WTG Generation for loss calculation]]/24)*Table6[[#This Row],[Breakdown Time]],"")</f>
        <v>2637.4437499999999</v>
      </c>
      <c r="AB822" s="121" t="s">
        <v>478</v>
      </c>
    </row>
    <row r="823" spans="1:28">
      <c r="A823" s="121">
        <f t="shared" si="12"/>
        <v>822</v>
      </c>
      <c r="B823" s="379">
        <f>YEAR(Table6[[#This Row],[Date]])+IF(MONTH(Table6[[#This Row],[Date]])&gt;=4,1,0)</f>
        <v>2026</v>
      </c>
      <c r="C823" s="39">
        <f>YEAR(Table6[[#This Row],[Date]])</f>
        <v>2025</v>
      </c>
      <c r="D823" s="39" t="s">
        <v>490</v>
      </c>
      <c r="E823" s="135">
        <f>Table6[[#This Row],[Date]]-DAY(Table6[[#This Row],[Date]])+1</f>
        <v>45809</v>
      </c>
      <c r="F823" s="134">
        <v>45827</v>
      </c>
      <c r="G823" s="121" t="s">
        <v>145</v>
      </c>
      <c r="H823" s="39" t="str">
        <f>_xlfn.XLOOKUP(Table6[[#This Row],[Affected WTG]],'Basic Data'!$A:$A,'Basic Data'!$B:$B)</f>
        <v>PWEGPL</v>
      </c>
      <c r="I823" s="39" t="str">
        <f>_xlfn.XLOOKUP(Table6[[#This Row],[Affected WTG]],'Basic Data'!$A:$A,'Basic Data'!$C:$C)</f>
        <v>MSEDCL</v>
      </c>
      <c r="J823" s="363">
        <f>IFERROR(VLOOKUP(Table6[[#This Row],[Affected WTG]],'Basic Data'!$A$3:$E$56,5,0),"")</f>
        <v>2.564102564102564E-2</v>
      </c>
      <c r="K823" s="121" t="s">
        <v>466</v>
      </c>
      <c r="L823" s="39" t="str">
        <f>IFERROR(VLOOKUP(Table6[[#This Row],[Error Code]],'Basic Data'!$T:$U,2,0),"")</f>
        <v>Manual Stop</v>
      </c>
      <c r="M823" s="364" t="s">
        <v>479</v>
      </c>
      <c r="O823" s="346">
        <v>0.52083333333333337</v>
      </c>
      <c r="P823" s="346">
        <v>0.52083333333333337</v>
      </c>
      <c r="Q823" s="346">
        <v>0.55208333333333337</v>
      </c>
      <c r="R823" s="366">
        <f>IF(Table6[[#This Row],[Work Start TimeStamp]]="","",(Table6[[#This Row],[Work Start TimeStamp]]-Table6[[#This Row],[Fault Start TimeStamp]])*24)</f>
        <v>0</v>
      </c>
      <c r="S823" s="377">
        <f>(Table6[[#This Row],[Fault Clearance time]]-Table6[[#This Row],[Work Start TimeStamp]])*24</f>
        <v>0.75</v>
      </c>
      <c r="T823" s="380">
        <f>(Table6[[#This Row],[Fault Clearance time]]-Table6[[#This Row],[Fault Start TimeStamp]])*24</f>
        <v>0.75</v>
      </c>
      <c r="U823" s="364" t="s">
        <v>1264</v>
      </c>
      <c r="V823" s="364" t="s">
        <v>463</v>
      </c>
      <c r="W823" s="355">
        <f>Table6[[#This Row],[Breakdown Time]]*(1/39)</f>
        <v>1.9230769230769232E-2</v>
      </c>
      <c r="X823" s="353" t="s">
        <v>464</v>
      </c>
      <c r="Y823" s="364" t="s">
        <v>139</v>
      </c>
      <c r="Z823" s="121">
        <v>24273</v>
      </c>
      <c r="AA823" s="123">
        <f>IFERROR((Table6[[#This Row],[Paired WTG Generation for loss calculation]]/24)*Table6[[#This Row],[Breakdown Time]],"")</f>
        <v>758.53125</v>
      </c>
      <c r="AB823" s="121" t="s">
        <v>478</v>
      </c>
    </row>
    <row r="824" spans="1:28">
      <c r="A824" s="121">
        <f t="shared" si="12"/>
        <v>823</v>
      </c>
      <c r="B824" s="379">
        <f>YEAR(Table6[[#This Row],[Date]])+IF(MONTH(Table6[[#This Row],[Date]])&gt;=4,1,0)</f>
        <v>2026</v>
      </c>
      <c r="C824" s="39">
        <f>YEAR(Table6[[#This Row],[Date]])</f>
        <v>2025</v>
      </c>
      <c r="D824" s="39" t="s">
        <v>490</v>
      </c>
      <c r="E824" s="135">
        <f>Table6[[#This Row],[Date]]-DAY(Table6[[#This Row],[Date]])+1</f>
        <v>45809</v>
      </c>
      <c r="F824" s="134">
        <v>45827</v>
      </c>
      <c r="G824" s="121" t="s">
        <v>118</v>
      </c>
      <c r="H824" s="39" t="str">
        <f>_xlfn.XLOOKUP(Table6[[#This Row],[Affected WTG]],'Basic Data'!$A:$A,'Basic Data'!$B:$B)</f>
        <v>PWEGPL</v>
      </c>
      <c r="I824" s="39" t="str">
        <f>_xlfn.XLOOKUP(Table6[[#This Row],[Affected WTG]],'Basic Data'!$A:$A,'Basic Data'!$C:$C)</f>
        <v>MSEDCL</v>
      </c>
      <c r="J824" s="363">
        <f>IFERROR(VLOOKUP(Table6[[#This Row],[Affected WTG]],'Basic Data'!$A$3:$E$56,5,0),"")</f>
        <v>2.564102564102564E-2</v>
      </c>
      <c r="K824" s="121">
        <v>2118</v>
      </c>
      <c r="L824" s="39" t="str">
        <f>IFERROR(VLOOKUP(Table6[[#This Row],[Error Code]],'Basic Data'!$T:$U,2,0),"")</f>
        <v>Bus Error - Interbus Failure</v>
      </c>
      <c r="M824" s="364" t="s">
        <v>462</v>
      </c>
      <c r="O824" s="346">
        <v>0.47361111111111109</v>
      </c>
      <c r="P824" s="346">
        <v>0.50972222222222219</v>
      </c>
      <c r="Q824" s="346">
        <v>0.54166666666666663</v>
      </c>
      <c r="R824" s="366">
        <f>IF(Table6[[#This Row],[Work Start TimeStamp]]="","",(Table6[[#This Row],[Work Start TimeStamp]]-Table6[[#This Row],[Fault Start TimeStamp]])*24)</f>
        <v>0.86666666666666625</v>
      </c>
      <c r="S824" s="377">
        <f>(Table6[[#This Row],[Fault Clearance time]]-Table6[[#This Row],[Work Start TimeStamp]])*24</f>
        <v>0.76666666666666661</v>
      </c>
      <c r="T824" s="380">
        <f>(Table6[[#This Row],[Fault Clearance time]]-Table6[[#This Row],[Fault Start TimeStamp]])*24</f>
        <v>1.6333333333333329</v>
      </c>
      <c r="U824" s="364" t="s">
        <v>1244</v>
      </c>
      <c r="V824" s="364" t="s">
        <v>463</v>
      </c>
      <c r="W824" s="355">
        <f>Table6[[#This Row],[Breakdown Time]]*(1/39)</f>
        <v>4.1880341880341863E-2</v>
      </c>
      <c r="X824" s="353" t="s">
        <v>465</v>
      </c>
      <c r="Y824" s="364" t="s">
        <v>116</v>
      </c>
      <c r="Z824" s="121">
        <v>25563</v>
      </c>
      <c r="AA824" s="123">
        <f>IFERROR((Table6[[#This Row],[Paired WTG Generation for loss calculation]]/24)*Table6[[#This Row],[Breakdown Time]],"")</f>
        <v>1739.7041666666662</v>
      </c>
      <c r="AB824" s="121" t="s">
        <v>478</v>
      </c>
    </row>
    <row r="825" spans="1:28">
      <c r="A825" s="121">
        <f t="shared" si="12"/>
        <v>824</v>
      </c>
      <c r="B825" s="379">
        <f>YEAR(Table6[[#This Row],[Date]])+IF(MONTH(Table6[[#This Row],[Date]])&gt;=4,1,0)</f>
        <v>2026</v>
      </c>
      <c r="C825" s="39">
        <f>YEAR(Table6[[#This Row],[Date]])</f>
        <v>2025</v>
      </c>
      <c r="D825" s="39" t="s">
        <v>490</v>
      </c>
      <c r="E825" s="135">
        <f>Table6[[#This Row],[Date]]-DAY(Table6[[#This Row],[Date]])+1</f>
        <v>45809</v>
      </c>
      <c r="F825" s="134">
        <v>45827</v>
      </c>
      <c r="G825" s="121" t="s">
        <v>117</v>
      </c>
      <c r="H825" s="39" t="str">
        <f>_xlfn.XLOOKUP(Table6[[#This Row],[Affected WTG]],'Basic Data'!$A:$A,'Basic Data'!$B:$B)</f>
        <v>PWEGPL</v>
      </c>
      <c r="I825" s="39" t="str">
        <f>_xlfn.XLOOKUP(Table6[[#This Row],[Affected WTG]],'Basic Data'!$A:$A,'Basic Data'!$C:$C)</f>
        <v>MSEDCL</v>
      </c>
      <c r="J825" s="363">
        <f>IFERROR(VLOOKUP(Table6[[#This Row],[Affected WTG]],'Basic Data'!$A$3:$E$56,5,0),"")</f>
        <v>2.564102564102564E-2</v>
      </c>
      <c r="K825" s="121">
        <v>804</v>
      </c>
      <c r="L825" s="39" t="str">
        <f>IFERROR(VLOOKUP(Table6[[#This Row],[Error Code]],'Basic Data'!$T:$U,2,0),"")</f>
        <v>Difference Between 2 Blades Too High</v>
      </c>
      <c r="M825" s="364" t="s">
        <v>462</v>
      </c>
      <c r="O825" s="346">
        <v>0.55902777777777779</v>
      </c>
      <c r="P825" s="346">
        <v>0.57847222222222228</v>
      </c>
      <c r="Q825" s="346">
        <v>0.62222222222222223</v>
      </c>
      <c r="R825" s="366">
        <f>IF(Table6[[#This Row],[Work Start TimeStamp]]="","",(Table6[[#This Row],[Work Start TimeStamp]]-Table6[[#This Row],[Fault Start TimeStamp]])*24)</f>
        <v>0.46666666666666767</v>
      </c>
      <c r="S825" s="377">
        <f>(Table6[[#This Row],[Fault Clearance time]]-Table6[[#This Row],[Work Start TimeStamp]])*24</f>
        <v>1.0499999999999989</v>
      </c>
      <c r="T825" s="380">
        <f>(Table6[[#This Row],[Fault Clearance time]]-Table6[[#This Row],[Fault Start TimeStamp]])*24</f>
        <v>1.5166666666666666</v>
      </c>
      <c r="U825" s="364" t="s">
        <v>1265</v>
      </c>
      <c r="V825" s="364" t="s">
        <v>463</v>
      </c>
      <c r="W825" s="355">
        <f>Table6[[#This Row],[Breakdown Time]]*(1/39)</f>
        <v>3.8888888888888883E-2</v>
      </c>
      <c r="X825" s="353" t="s">
        <v>465</v>
      </c>
      <c r="Y825" s="364" t="s">
        <v>120</v>
      </c>
      <c r="Z825" s="121">
        <v>25823</v>
      </c>
      <c r="AA825" s="123">
        <f>IFERROR((Table6[[#This Row],[Paired WTG Generation for loss calculation]]/24)*Table6[[#This Row],[Breakdown Time]],"")</f>
        <v>1631.8701388888887</v>
      </c>
      <c r="AB825" s="121" t="s">
        <v>478</v>
      </c>
    </row>
    <row r="826" spans="1:28">
      <c r="A826" s="121">
        <f t="shared" si="12"/>
        <v>825</v>
      </c>
      <c r="B826" s="379">
        <f>YEAR(Table6[[#This Row],[Date]])+IF(MONTH(Table6[[#This Row],[Date]])&gt;=4,1,0)</f>
        <v>2026</v>
      </c>
      <c r="C826" s="39">
        <f>YEAR(Table6[[#This Row],[Date]])</f>
        <v>2025</v>
      </c>
      <c r="D826" s="39" t="s">
        <v>490</v>
      </c>
      <c r="E826" s="135">
        <f>Table6[[#This Row],[Date]]-DAY(Table6[[#This Row],[Date]])+1</f>
        <v>45809</v>
      </c>
      <c r="F826" s="134">
        <v>45827</v>
      </c>
      <c r="G826" s="121" t="s">
        <v>134</v>
      </c>
      <c r="H826" s="39" t="str">
        <f>_xlfn.XLOOKUP(Table6[[#This Row],[Affected WTG]],'Basic Data'!$A:$A,'Basic Data'!$B:$B)</f>
        <v>PWEGPL</v>
      </c>
      <c r="I826" s="39" t="str">
        <f>_xlfn.XLOOKUP(Table6[[#This Row],[Affected WTG]],'Basic Data'!$A:$A,'Basic Data'!$C:$C)</f>
        <v>MSEDCL</v>
      </c>
      <c r="J826" s="363">
        <f>IFERROR(VLOOKUP(Table6[[#This Row],[Affected WTG]],'Basic Data'!$A$3:$E$56,5,0),"")</f>
        <v>2.564102564102564E-2</v>
      </c>
      <c r="K826" s="121">
        <v>2118</v>
      </c>
      <c r="L826" s="39" t="str">
        <f>IFERROR(VLOOKUP(Table6[[#This Row],[Error Code]],'Basic Data'!$T:$U,2,0),"")</f>
        <v>Bus Error - Interbus Failure</v>
      </c>
      <c r="M826" s="364" t="s">
        <v>462</v>
      </c>
      <c r="O826" s="346">
        <v>0.58472222222222225</v>
      </c>
      <c r="P826" s="346">
        <v>0.69027777777777777</v>
      </c>
      <c r="Q826" s="346">
        <v>0.72430555555555554</v>
      </c>
      <c r="R826" s="366">
        <f>IF(Table6[[#This Row],[Work Start TimeStamp]]="","",(Table6[[#This Row],[Work Start TimeStamp]]-Table6[[#This Row],[Fault Start TimeStamp]])*24)</f>
        <v>2.5333333333333323</v>
      </c>
      <c r="S826" s="377">
        <f>(Table6[[#This Row],[Fault Clearance time]]-Table6[[#This Row],[Work Start TimeStamp]])*24</f>
        <v>0.81666666666666643</v>
      </c>
      <c r="T826" s="380">
        <f>(Table6[[#This Row],[Fault Clearance time]]-Table6[[#This Row],[Fault Start TimeStamp]])*24</f>
        <v>3.3499999999999988</v>
      </c>
      <c r="U826" s="364" t="s">
        <v>1266</v>
      </c>
      <c r="V826" s="364" t="s">
        <v>463</v>
      </c>
      <c r="W826" s="355">
        <f>Table6[[#This Row],[Breakdown Time]]*(1/39)</f>
        <v>8.5897435897435856E-2</v>
      </c>
      <c r="X826" s="353" t="s">
        <v>465</v>
      </c>
      <c r="Y826" s="364" t="s">
        <v>133</v>
      </c>
      <c r="Z826" s="121">
        <v>25458</v>
      </c>
      <c r="AA826" s="123">
        <f>IFERROR((Table6[[#This Row],[Paired WTG Generation for loss calculation]]/24)*Table6[[#This Row],[Breakdown Time]],"")</f>
        <v>3553.5124999999985</v>
      </c>
      <c r="AB826" s="121" t="s">
        <v>478</v>
      </c>
    </row>
    <row r="827" spans="1:28">
      <c r="A827" s="121">
        <f t="shared" si="12"/>
        <v>826</v>
      </c>
      <c r="B827" s="379">
        <f>YEAR(Table6[[#This Row],[Date]])+IF(MONTH(Table6[[#This Row],[Date]])&gt;=4,1,0)</f>
        <v>2026</v>
      </c>
      <c r="C827" s="39">
        <f>YEAR(Table6[[#This Row],[Date]])</f>
        <v>2025</v>
      </c>
      <c r="D827" s="39" t="s">
        <v>490</v>
      </c>
      <c r="E827" s="135">
        <f>Table6[[#This Row],[Date]]-DAY(Table6[[#This Row],[Date]])+1</f>
        <v>45809</v>
      </c>
      <c r="F827" s="134">
        <v>45827</v>
      </c>
      <c r="G827" s="121" t="s">
        <v>126</v>
      </c>
      <c r="H827" s="39" t="str">
        <f>_xlfn.XLOOKUP(Table6[[#This Row],[Affected WTG]],'Basic Data'!$A:$A,'Basic Data'!$B:$B)</f>
        <v>PWEGPL</v>
      </c>
      <c r="I827" s="39" t="str">
        <f>_xlfn.XLOOKUP(Table6[[#This Row],[Affected WTG]],'Basic Data'!$A:$A,'Basic Data'!$C:$C)</f>
        <v>MSEDCL</v>
      </c>
      <c r="J827" s="363">
        <f>IFERROR(VLOOKUP(Table6[[#This Row],[Affected WTG]],'Basic Data'!$A$3:$E$56,5,0),"")</f>
        <v>2.564102564102564E-2</v>
      </c>
      <c r="K827" s="121">
        <v>203</v>
      </c>
      <c r="L827" s="39" t="str">
        <f>IFERROR(VLOOKUP(Table6[[#This Row],[Error Code]],'Basic Data'!$T:$U,2,0),"")</f>
        <v>Low Pressure On Hydraulic Group</v>
      </c>
      <c r="M827" s="364" t="s">
        <v>462</v>
      </c>
      <c r="O827" s="346">
        <v>0.54861111111111116</v>
      </c>
      <c r="P827" s="346">
        <v>0.56388888888888888</v>
      </c>
      <c r="Q827" s="346">
        <v>0.56527777777777777</v>
      </c>
      <c r="R827" s="366">
        <f>IF(Table6[[#This Row],[Work Start TimeStamp]]="","",(Table6[[#This Row],[Work Start TimeStamp]]-Table6[[#This Row],[Fault Start TimeStamp]])*24)</f>
        <v>0.36666666666666536</v>
      </c>
      <c r="S827" s="377">
        <f>(Table6[[#This Row],[Fault Clearance time]]-Table6[[#This Row],[Work Start TimeStamp]])*24</f>
        <v>3.3333333333333215E-2</v>
      </c>
      <c r="T827" s="380">
        <f>(Table6[[#This Row],[Fault Clearance time]]-Table6[[#This Row],[Fault Start TimeStamp]])*24</f>
        <v>0.39999999999999858</v>
      </c>
      <c r="U827" s="364" t="s">
        <v>493</v>
      </c>
      <c r="V827" s="364" t="s">
        <v>463</v>
      </c>
      <c r="W827" s="355">
        <f>Table6[[#This Row],[Breakdown Time]]*(1/39)</f>
        <v>1.025641025641022E-2</v>
      </c>
      <c r="X827" s="353" t="s">
        <v>465</v>
      </c>
      <c r="Y827" s="364" t="s">
        <v>123</v>
      </c>
      <c r="Z827" s="121">
        <v>25623</v>
      </c>
      <c r="AA827" s="123">
        <f>IFERROR((Table6[[#This Row],[Paired WTG Generation for loss calculation]]/24)*Table6[[#This Row],[Breakdown Time]],"")</f>
        <v>427.04999999999848</v>
      </c>
      <c r="AB827" s="121" t="s">
        <v>478</v>
      </c>
    </row>
    <row r="828" spans="1:28">
      <c r="A828" s="121">
        <f t="shared" si="12"/>
        <v>827</v>
      </c>
      <c r="B828" s="379">
        <f>YEAR(Table6[[#This Row],[Date]])+IF(MONTH(Table6[[#This Row],[Date]])&gt;=4,1,0)</f>
        <v>2026</v>
      </c>
      <c r="C828" s="39">
        <f>YEAR(Table6[[#This Row],[Date]])</f>
        <v>2025</v>
      </c>
      <c r="D828" s="39" t="s">
        <v>490</v>
      </c>
      <c r="E828" s="135">
        <f>Table6[[#This Row],[Date]]-DAY(Table6[[#This Row],[Date]])+1</f>
        <v>45809</v>
      </c>
      <c r="F828" s="134">
        <v>45828</v>
      </c>
      <c r="G828" s="121" t="s">
        <v>144</v>
      </c>
      <c r="H828" s="39" t="str">
        <f>_xlfn.XLOOKUP(Table6[[#This Row],[Affected WTG]],'Basic Data'!$A:$A,'Basic Data'!$B:$B)</f>
        <v>PWEGPL</v>
      </c>
      <c r="I828" s="39" t="str">
        <f>_xlfn.XLOOKUP(Table6[[#This Row],[Affected WTG]],'Basic Data'!$A:$A,'Basic Data'!$C:$C)</f>
        <v>MSEDCL</v>
      </c>
      <c r="J828" s="363">
        <f>IFERROR(VLOOKUP(Table6[[#This Row],[Affected WTG]],'Basic Data'!$A$3:$E$56,5,0),"")</f>
        <v>2.564102564102564E-2</v>
      </c>
      <c r="K828" s="121" t="s">
        <v>492</v>
      </c>
      <c r="L828" s="39" t="str">
        <f>IFERROR(VLOOKUP(Table6[[#This Row],[Error Code]],'Basic Data'!$T:$U,2,0),"")</f>
        <v>Manual Stop - Safety Related</v>
      </c>
      <c r="M828" s="364" t="s">
        <v>481</v>
      </c>
      <c r="O828" s="346">
        <v>0</v>
      </c>
      <c r="P828" s="346">
        <v>0.99998842592592596</v>
      </c>
      <c r="Q828" s="346">
        <v>0.99998842592592596</v>
      </c>
      <c r="R828" s="366">
        <f>IF(Table6[[#This Row],[Work Start TimeStamp]]="","",(Table6[[#This Row],[Work Start TimeStamp]]-Table6[[#This Row],[Fault Start TimeStamp]])*24)</f>
        <v>23.999722222222225</v>
      </c>
      <c r="S828" s="377">
        <f>(Table6[[#This Row],[Fault Clearance time]]-Table6[[#This Row],[Work Start TimeStamp]])*24</f>
        <v>0</v>
      </c>
      <c r="T828" s="380">
        <f>(Table6[[#This Row],[Fault Clearance time]]-Table6[[#This Row],[Fault Start TimeStamp]])*24</f>
        <v>23.999722222222225</v>
      </c>
      <c r="U828" s="364" t="s">
        <v>498</v>
      </c>
      <c r="V828" s="364" t="s">
        <v>473</v>
      </c>
      <c r="W828" s="355">
        <f>Table6[[#This Row],[Breakdown Time]]*(1/39)</f>
        <v>0.61537749287749288</v>
      </c>
      <c r="X828" s="353" t="s">
        <v>465</v>
      </c>
      <c r="Y828" s="364" t="s">
        <v>143</v>
      </c>
      <c r="Z828" s="121">
        <v>27810</v>
      </c>
      <c r="AA828" s="123">
        <f>IFERROR((Table6[[#This Row],[Paired WTG Generation for loss calculation]]/24)*Table6[[#This Row],[Breakdown Time]],"")</f>
        <v>27809.678125000002</v>
      </c>
      <c r="AB828" s="121" t="s">
        <v>478</v>
      </c>
    </row>
    <row r="829" spans="1:28">
      <c r="A829" s="121">
        <f t="shared" si="12"/>
        <v>828</v>
      </c>
      <c r="B829" s="379">
        <f>YEAR(Table6[[#This Row],[Date]])+IF(MONTH(Table6[[#This Row],[Date]])&gt;=4,1,0)</f>
        <v>2026</v>
      </c>
      <c r="C829" s="39">
        <f>YEAR(Table6[[#This Row],[Date]])</f>
        <v>2025</v>
      </c>
      <c r="D829" s="39" t="s">
        <v>490</v>
      </c>
      <c r="E829" s="135">
        <f>Table6[[#This Row],[Date]]-DAY(Table6[[#This Row],[Date]])+1</f>
        <v>45809</v>
      </c>
      <c r="F829" s="134">
        <v>45828</v>
      </c>
      <c r="G829" s="121" t="s">
        <v>142</v>
      </c>
      <c r="H829" s="39" t="str">
        <f>_xlfn.XLOOKUP(Table6[[#This Row],[Affected WTG]],'Basic Data'!$A:$A,'Basic Data'!$B:$B)</f>
        <v>PWEGPL</v>
      </c>
      <c r="I829" s="39" t="str">
        <f>_xlfn.XLOOKUP(Table6[[#This Row],[Affected WTG]],'Basic Data'!$A:$A,'Basic Data'!$C:$C)</f>
        <v>MSEDCL</v>
      </c>
      <c r="J829" s="363">
        <f>IFERROR(VLOOKUP(Table6[[#This Row],[Affected WTG]],'Basic Data'!$A$3:$E$56,5,0),"")</f>
        <v>2.564102564102564E-2</v>
      </c>
      <c r="K829" s="121" t="s">
        <v>492</v>
      </c>
      <c r="L829" s="39" t="str">
        <f>IFERROR(VLOOKUP(Table6[[#This Row],[Error Code]],'Basic Data'!$T:$U,2,0),"")</f>
        <v>Manual Stop - Safety Related</v>
      </c>
      <c r="M829" s="364" t="s">
        <v>481</v>
      </c>
      <c r="O829" s="346">
        <v>0</v>
      </c>
      <c r="P829" s="346">
        <v>0.99998842592592596</v>
      </c>
      <c r="Q829" s="346">
        <v>0.99998842592592596</v>
      </c>
      <c r="R829" s="366">
        <f>IF(Table6[[#This Row],[Work Start TimeStamp]]="","",(Table6[[#This Row],[Work Start TimeStamp]]-Table6[[#This Row],[Fault Start TimeStamp]])*24)</f>
        <v>23.999722222222225</v>
      </c>
      <c r="S829" s="377">
        <f>(Table6[[#This Row],[Fault Clearance time]]-Table6[[#This Row],[Work Start TimeStamp]])*24</f>
        <v>0</v>
      </c>
      <c r="T829" s="380">
        <f>(Table6[[#This Row],[Fault Clearance time]]-Table6[[#This Row],[Fault Start TimeStamp]])*24</f>
        <v>23.999722222222225</v>
      </c>
      <c r="U829" s="364" t="s">
        <v>498</v>
      </c>
      <c r="V829" s="364" t="s">
        <v>473</v>
      </c>
      <c r="W829" s="355">
        <f>Table6[[#This Row],[Breakdown Time]]*(1/39)</f>
        <v>0.61537749287749288</v>
      </c>
      <c r="X829" s="353" t="s">
        <v>465</v>
      </c>
      <c r="Y829" s="364" t="s">
        <v>143</v>
      </c>
      <c r="Z829" s="121">
        <v>27810</v>
      </c>
      <c r="AA829" s="123">
        <f>IFERROR((Table6[[#This Row],[Paired WTG Generation for loss calculation]]/24)*Table6[[#This Row],[Breakdown Time]],"")</f>
        <v>27809.678125000002</v>
      </c>
      <c r="AB829" s="121" t="s">
        <v>478</v>
      </c>
    </row>
    <row r="830" spans="1:28">
      <c r="A830" s="121">
        <f t="shared" si="12"/>
        <v>829</v>
      </c>
      <c r="B830" s="379">
        <f>YEAR(Table6[[#This Row],[Date]])+IF(MONTH(Table6[[#This Row],[Date]])&gt;=4,1,0)</f>
        <v>2026</v>
      </c>
      <c r="C830" s="39">
        <f>YEAR(Table6[[#This Row],[Date]])</f>
        <v>2025</v>
      </c>
      <c r="D830" s="39" t="s">
        <v>490</v>
      </c>
      <c r="E830" s="135">
        <f>Table6[[#This Row],[Date]]-DAY(Table6[[#This Row],[Date]])+1</f>
        <v>45809</v>
      </c>
      <c r="F830" s="134">
        <v>45828</v>
      </c>
      <c r="G830" s="121" t="s">
        <v>131</v>
      </c>
      <c r="H830" s="39" t="str">
        <f>_xlfn.XLOOKUP(Table6[[#This Row],[Affected WTG]],'Basic Data'!$A:$A,'Basic Data'!$B:$B)</f>
        <v>PWEGPL</v>
      </c>
      <c r="I830" s="39" t="str">
        <f>_xlfn.XLOOKUP(Table6[[#This Row],[Affected WTG]],'Basic Data'!$A:$A,'Basic Data'!$C:$C)</f>
        <v>MSEDCL</v>
      </c>
      <c r="J830" s="363">
        <f>IFERROR(VLOOKUP(Table6[[#This Row],[Affected WTG]],'Basic Data'!$A$3:$E$56,5,0),"")</f>
        <v>2.564102564102564E-2</v>
      </c>
      <c r="K830" s="121">
        <v>5216</v>
      </c>
      <c r="L830" s="39" t="str">
        <f>IFERROR(VLOOKUP(Table6[[#This Row],[Error Code]],'Basic Data'!$T:$U,2,0),"")</f>
        <v>Grid Voltage Failure</v>
      </c>
      <c r="M830" s="364" t="s">
        <v>462</v>
      </c>
      <c r="O830" s="346">
        <v>0</v>
      </c>
      <c r="P830" s="346">
        <v>0.99998842592592596</v>
      </c>
      <c r="Q830" s="346">
        <v>0.99998842592592596</v>
      </c>
      <c r="R830" s="366">
        <f>IF(Table6[[#This Row],[Work Start TimeStamp]]="","",(Table6[[#This Row],[Work Start TimeStamp]]-Table6[[#This Row],[Fault Start TimeStamp]])*24)</f>
        <v>23.999722222222225</v>
      </c>
      <c r="S830" s="377">
        <f>(Table6[[#This Row],[Fault Clearance time]]-Table6[[#This Row],[Work Start TimeStamp]])*24</f>
        <v>0</v>
      </c>
      <c r="T830" s="380">
        <f>(Table6[[#This Row],[Fault Clearance time]]-Table6[[#This Row],[Fault Start TimeStamp]])*24</f>
        <v>23.999722222222225</v>
      </c>
      <c r="U830" s="364" t="s">
        <v>1247</v>
      </c>
      <c r="V830" s="364" t="s">
        <v>473</v>
      </c>
      <c r="W830" s="355">
        <f>Table6[[#This Row],[Breakdown Time]]*(1/39)</f>
        <v>0.61537749287749288</v>
      </c>
      <c r="X830" s="353" t="s">
        <v>465</v>
      </c>
      <c r="Y830" s="364" t="s">
        <v>130</v>
      </c>
      <c r="Z830" s="121">
        <v>27812</v>
      </c>
      <c r="AA830" s="123">
        <f>IFERROR((Table6[[#This Row],[Paired WTG Generation for loss calculation]]/24)*Table6[[#This Row],[Breakdown Time]],"")</f>
        <v>27811.678101851852</v>
      </c>
      <c r="AB830" s="121" t="s">
        <v>478</v>
      </c>
    </row>
    <row r="831" spans="1:28">
      <c r="A831" s="121">
        <f t="shared" si="12"/>
        <v>830</v>
      </c>
      <c r="B831" s="379">
        <f>YEAR(Table6[[#This Row],[Date]])+IF(MONTH(Table6[[#This Row],[Date]])&gt;=4,1,0)</f>
        <v>2026</v>
      </c>
      <c r="C831" s="39">
        <f>YEAR(Table6[[#This Row],[Date]])</f>
        <v>2025</v>
      </c>
      <c r="D831" s="39" t="s">
        <v>490</v>
      </c>
      <c r="E831" s="135">
        <f>Table6[[#This Row],[Date]]-DAY(Table6[[#This Row],[Date]])+1</f>
        <v>45809</v>
      </c>
      <c r="F831" s="134">
        <v>45828</v>
      </c>
      <c r="G831" s="121" t="s">
        <v>125</v>
      </c>
      <c r="H831" s="39" t="str">
        <f>_xlfn.XLOOKUP(Table6[[#This Row],[Affected WTG]],'Basic Data'!$A:$A,'Basic Data'!$B:$B)</f>
        <v>PWEGPL</v>
      </c>
      <c r="I831" s="39" t="str">
        <f>_xlfn.XLOOKUP(Table6[[#This Row],[Affected WTG]],'Basic Data'!$A:$A,'Basic Data'!$C:$C)</f>
        <v>MSEDCL</v>
      </c>
      <c r="J831" s="363">
        <f>IFERROR(VLOOKUP(Table6[[#This Row],[Affected WTG]],'Basic Data'!$A$3:$E$56,5,0),"")</f>
        <v>2.564102564102564E-2</v>
      </c>
      <c r="K831" s="121">
        <v>2118</v>
      </c>
      <c r="L831" s="39" t="str">
        <f>IFERROR(VLOOKUP(Table6[[#This Row],[Error Code]],'Basic Data'!$T:$U,2,0),"")</f>
        <v>Bus Error - Interbus Failure</v>
      </c>
      <c r="M831" s="364" t="s">
        <v>462</v>
      </c>
      <c r="O831" s="346">
        <v>0.41249999999999998</v>
      </c>
      <c r="P831" s="346">
        <v>0.45208333333333334</v>
      </c>
      <c r="Q831" s="346">
        <v>0.51875000000000004</v>
      </c>
      <c r="R831" s="366">
        <f>IF(Table6[[#This Row],[Work Start TimeStamp]]="","",(Table6[[#This Row],[Work Start TimeStamp]]-Table6[[#This Row],[Fault Start TimeStamp]])*24)</f>
        <v>0.95000000000000062</v>
      </c>
      <c r="S831" s="377">
        <f>(Table6[[#This Row],[Fault Clearance time]]-Table6[[#This Row],[Work Start TimeStamp]])*24</f>
        <v>1.600000000000001</v>
      </c>
      <c r="T831" s="380">
        <f>(Table6[[#This Row],[Fault Clearance time]]-Table6[[#This Row],[Fault Start TimeStamp]])*24</f>
        <v>2.5500000000000016</v>
      </c>
      <c r="U831" s="364" t="s">
        <v>1278</v>
      </c>
      <c r="V831" s="364" t="s">
        <v>463</v>
      </c>
      <c r="W831" s="355">
        <f>Table6[[#This Row],[Breakdown Time]]*(1/39)</f>
        <v>6.538461538461543E-2</v>
      </c>
      <c r="X831" s="353" t="s">
        <v>465</v>
      </c>
      <c r="Y831" s="364" t="s">
        <v>124</v>
      </c>
      <c r="Z831" s="121">
        <v>27864</v>
      </c>
      <c r="AA831" s="123">
        <f>IFERROR((Table6[[#This Row],[Paired WTG Generation for loss calculation]]/24)*Table6[[#This Row],[Breakdown Time]],"")</f>
        <v>2960.550000000002</v>
      </c>
      <c r="AB831" s="121" t="s">
        <v>478</v>
      </c>
    </row>
    <row r="832" spans="1:28">
      <c r="A832" s="121">
        <f t="shared" si="12"/>
        <v>831</v>
      </c>
      <c r="B832" s="379">
        <f>YEAR(Table6[[#This Row],[Date]])+IF(MONTH(Table6[[#This Row],[Date]])&gt;=4,1,0)</f>
        <v>2026</v>
      </c>
      <c r="C832" s="39">
        <f>YEAR(Table6[[#This Row],[Date]])</f>
        <v>2025</v>
      </c>
      <c r="D832" s="39" t="s">
        <v>490</v>
      </c>
      <c r="E832" s="135">
        <f>Table6[[#This Row],[Date]]-DAY(Table6[[#This Row],[Date]])+1</f>
        <v>45809</v>
      </c>
      <c r="F832" s="134">
        <v>45828</v>
      </c>
      <c r="G832" s="121" t="s">
        <v>135</v>
      </c>
      <c r="H832" s="39" t="str">
        <f>_xlfn.XLOOKUP(Table6[[#This Row],[Affected WTG]],'Basic Data'!$A:$A,'Basic Data'!$B:$B)</f>
        <v>PWEGPL</v>
      </c>
      <c r="I832" s="39" t="str">
        <f>_xlfn.XLOOKUP(Table6[[#This Row],[Affected WTG]],'Basic Data'!$A:$A,'Basic Data'!$C:$C)</f>
        <v>MSEDCL</v>
      </c>
      <c r="J832" s="363">
        <f>IFERROR(VLOOKUP(Table6[[#This Row],[Affected WTG]],'Basic Data'!$A$3:$E$56,5,0),"")</f>
        <v>2.564102564102564E-2</v>
      </c>
      <c r="K832" s="121">
        <v>403</v>
      </c>
      <c r="L832" s="39" t="str">
        <f>IFERROR(VLOOKUP(Table6[[#This Row],[Error Code]],'Basic Data'!$T:$U,2,0),"")</f>
        <v>High Gearbox Oil Temperature</v>
      </c>
      <c r="M832" s="364" t="s">
        <v>462</v>
      </c>
      <c r="O832" s="346">
        <v>0.53819444444444442</v>
      </c>
      <c r="P832" s="346">
        <v>0.56319444444444444</v>
      </c>
      <c r="Q832" s="346">
        <v>0.60138888888888886</v>
      </c>
      <c r="R832" s="366">
        <f>IF(Table6[[#This Row],[Work Start TimeStamp]]="","",(Table6[[#This Row],[Work Start TimeStamp]]-Table6[[#This Row],[Fault Start TimeStamp]])*24)</f>
        <v>0.60000000000000053</v>
      </c>
      <c r="S832" s="377">
        <f>(Table6[[#This Row],[Fault Clearance time]]-Table6[[#This Row],[Work Start TimeStamp]])*24</f>
        <v>0.91666666666666607</v>
      </c>
      <c r="T832" s="380">
        <f>(Table6[[#This Row],[Fault Clearance time]]-Table6[[#This Row],[Fault Start TimeStamp]])*24</f>
        <v>1.5166666666666666</v>
      </c>
      <c r="U832" s="364" t="s">
        <v>1279</v>
      </c>
      <c r="V832" s="364" t="s">
        <v>463</v>
      </c>
      <c r="W832" s="355">
        <f>Table6[[#This Row],[Breakdown Time]]*(1/39)</f>
        <v>3.8888888888888883E-2</v>
      </c>
      <c r="X832" s="353" t="s">
        <v>465</v>
      </c>
      <c r="Y832" s="364" t="s">
        <v>136</v>
      </c>
      <c r="Z832" s="121">
        <v>27345</v>
      </c>
      <c r="AA832" s="123">
        <f>IFERROR((Table6[[#This Row],[Paired WTG Generation for loss calculation]]/24)*Table6[[#This Row],[Breakdown Time]],"")</f>
        <v>1728.0520833333333</v>
      </c>
      <c r="AB832" s="121" t="s">
        <v>478</v>
      </c>
    </row>
    <row r="833" spans="1:28">
      <c r="A833" s="121">
        <f t="shared" si="12"/>
        <v>832</v>
      </c>
      <c r="B833" s="379">
        <f>YEAR(Table6[[#This Row],[Date]])+IF(MONTH(Table6[[#This Row],[Date]])&gt;=4,1,0)</f>
        <v>2026</v>
      </c>
      <c r="C833" s="39">
        <f>YEAR(Table6[[#This Row],[Date]])</f>
        <v>2025</v>
      </c>
      <c r="D833" s="39" t="s">
        <v>490</v>
      </c>
      <c r="E833" s="135">
        <f>Table6[[#This Row],[Date]]-DAY(Table6[[#This Row],[Date]])+1</f>
        <v>45809</v>
      </c>
      <c r="F833" s="134">
        <v>45829</v>
      </c>
      <c r="G833" s="121" t="s">
        <v>144</v>
      </c>
      <c r="H833" s="39" t="str">
        <f>_xlfn.XLOOKUP(Table6[[#This Row],[Affected WTG]],'Basic Data'!$A:$A,'Basic Data'!$B:$B)</f>
        <v>PWEGPL</v>
      </c>
      <c r="I833" s="39" t="str">
        <f>_xlfn.XLOOKUP(Table6[[#This Row],[Affected WTG]],'Basic Data'!$A:$A,'Basic Data'!$C:$C)</f>
        <v>MSEDCL</v>
      </c>
      <c r="J833" s="363">
        <f>IFERROR(VLOOKUP(Table6[[#This Row],[Affected WTG]],'Basic Data'!$A$3:$E$56,5,0),"")</f>
        <v>2.564102564102564E-2</v>
      </c>
      <c r="K833" s="121" t="s">
        <v>492</v>
      </c>
      <c r="L833" s="39" t="str">
        <f>IFERROR(VLOOKUP(Table6[[#This Row],[Error Code]],'Basic Data'!$T:$U,2,0),"")</f>
        <v>Manual Stop - Safety Related</v>
      </c>
      <c r="M833" s="364" t="s">
        <v>481</v>
      </c>
      <c r="O833" s="346">
        <v>0</v>
      </c>
      <c r="P833" s="346">
        <v>0.99998842592592596</v>
      </c>
      <c r="Q833" s="346">
        <v>0.99998842592592596</v>
      </c>
      <c r="R833" s="366">
        <f>IF(Table6[[#This Row],[Work Start TimeStamp]]="","",(Table6[[#This Row],[Work Start TimeStamp]]-Table6[[#This Row],[Fault Start TimeStamp]])*24)</f>
        <v>23.999722222222225</v>
      </c>
      <c r="S833" s="377">
        <f>(Table6[[#This Row],[Fault Clearance time]]-Table6[[#This Row],[Work Start TimeStamp]])*24</f>
        <v>0</v>
      </c>
      <c r="T833" s="380">
        <f>(Table6[[#This Row],[Fault Clearance time]]-Table6[[#This Row],[Fault Start TimeStamp]])*24</f>
        <v>23.999722222222225</v>
      </c>
      <c r="U833" s="364" t="s">
        <v>498</v>
      </c>
      <c r="V833" s="364" t="s">
        <v>473</v>
      </c>
      <c r="W833" s="355">
        <f>Table6[[#This Row],[Breakdown Time]]*(1/39)</f>
        <v>0.61537749287749288</v>
      </c>
      <c r="X833" s="353" t="s">
        <v>468</v>
      </c>
      <c r="Y833" s="364" t="s">
        <v>143</v>
      </c>
      <c r="Z833" s="121">
        <v>25110</v>
      </c>
      <c r="AA833" s="123">
        <f>IFERROR((Table6[[#This Row],[Paired WTG Generation for loss calculation]]/24)*Table6[[#This Row],[Breakdown Time]],"")</f>
        <v>25109.709375000002</v>
      </c>
      <c r="AB833" s="121" t="s">
        <v>478</v>
      </c>
    </row>
    <row r="834" spans="1:28">
      <c r="A834" s="121">
        <f t="shared" si="12"/>
        <v>833</v>
      </c>
      <c r="B834" s="379">
        <f>YEAR(Table6[[#This Row],[Date]])+IF(MONTH(Table6[[#This Row],[Date]])&gt;=4,1,0)</f>
        <v>2026</v>
      </c>
      <c r="C834" s="39">
        <f>YEAR(Table6[[#This Row],[Date]])</f>
        <v>2025</v>
      </c>
      <c r="D834" s="39" t="s">
        <v>490</v>
      </c>
      <c r="E834" s="135">
        <f>Table6[[#This Row],[Date]]-DAY(Table6[[#This Row],[Date]])+1</f>
        <v>45809</v>
      </c>
      <c r="F834" s="134">
        <v>45829</v>
      </c>
      <c r="G834" s="121" t="s">
        <v>142</v>
      </c>
      <c r="H834" s="39" t="str">
        <f>_xlfn.XLOOKUP(Table6[[#This Row],[Affected WTG]],'Basic Data'!$A:$A,'Basic Data'!$B:$B)</f>
        <v>PWEGPL</v>
      </c>
      <c r="I834" s="39" t="str">
        <f>_xlfn.XLOOKUP(Table6[[#This Row],[Affected WTG]],'Basic Data'!$A:$A,'Basic Data'!$C:$C)</f>
        <v>MSEDCL</v>
      </c>
      <c r="J834" s="363">
        <f>IFERROR(VLOOKUP(Table6[[#This Row],[Affected WTG]],'Basic Data'!$A$3:$E$56,5,0),"")</f>
        <v>2.564102564102564E-2</v>
      </c>
      <c r="K834" s="121" t="s">
        <v>492</v>
      </c>
      <c r="L834" s="39" t="str">
        <f>IFERROR(VLOOKUP(Table6[[#This Row],[Error Code]],'Basic Data'!$T:$U,2,0),"")</f>
        <v>Manual Stop - Safety Related</v>
      </c>
      <c r="M834" s="364" t="s">
        <v>481</v>
      </c>
      <c r="O834" s="346">
        <v>0</v>
      </c>
      <c r="P834" s="346">
        <v>0.99998842592592596</v>
      </c>
      <c r="Q834" s="346">
        <v>0.99998842592592596</v>
      </c>
      <c r="R834" s="366">
        <f>IF(Table6[[#This Row],[Work Start TimeStamp]]="","",(Table6[[#This Row],[Work Start TimeStamp]]-Table6[[#This Row],[Fault Start TimeStamp]])*24)</f>
        <v>23.999722222222225</v>
      </c>
      <c r="S834" s="377">
        <f>(Table6[[#This Row],[Fault Clearance time]]-Table6[[#This Row],[Work Start TimeStamp]])*24</f>
        <v>0</v>
      </c>
      <c r="T834" s="380">
        <f>(Table6[[#This Row],[Fault Clearance time]]-Table6[[#This Row],[Fault Start TimeStamp]])*24</f>
        <v>23.999722222222225</v>
      </c>
      <c r="U834" s="364" t="s">
        <v>498</v>
      </c>
      <c r="V834" s="364" t="s">
        <v>473</v>
      </c>
      <c r="W834" s="355">
        <f>Table6[[#This Row],[Breakdown Time]]*(1/39)</f>
        <v>0.61537749287749288</v>
      </c>
      <c r="X834" s="353" t="s">
        <v>468</v>
      </c>
      <c r="Y834" s="364" t="s">
        <v>143</v>
      </c>
      <c r="Z834" s="121">
        <v>25110</v>
      </c>
      <c r="AA834" s="123">
        <f>IFERROR((Table6[[#This Row],[Paired WTG Generation for loss calculation]]/24)*Table6[[#This Row],[Breakdown Time]],"")</f>
        <v>25109.709375000002</v>
      </c>
      <c r="AB834" s="121" t="s">
        <v>478</v>
      </c>
    </row>
    <row r="835" spans="1:28">
      <c r="A835" s="121">
        <f t="shared" si="12"/>
        <v>834</v>
      </c>
      <c r="B835" s="379">
        <f>YEAR(Table6[[#This Row],[Date]])+IF(MONTH(Table6[[#This Row],[Date]])&gt;=4,1,0)</f>
        <v>2026</v>
      </c>
      <c r="C835" s="39">
        <f>YEAR(Table6[[#This Row],[Date]])</f>
        <v>2025</v>
      </c>
      <c r="D835" s="39" t="s">
        <v>490</v>
      </c>
      <c r="E835" s="135">
        <f>Table6[[#This Row],[Date]]-DAY(Table6[[#This Row],[Date]])+1</f>
        <v>45809</v>
      </c>
      <c r="F835" s="134">
        <v>45829</v>
      </c>
      <c r="G835" s="121" t="s">
        <v>131</v>
      </c>
      <c r="H835" s="39" t="str">
        <f>_xlfn.XLOOKUP(Table6[[#This Row],[Affected WTG]],'Basic Data'!$A:$A,'Basic Data'!$B:$B)</f>
        <v>PWEGPL</v>
      </c>
      <c r="I835" s="39" t="str">
        <f>_xlfn.XLOOKUP(Table6[[#This Row],[Affected WTG]],'Basic Data'!$A:$A,'Basic Data'!$C:$C)</f>
        <v>MSEDCL</v>
      </c>
      <c r="J835" s="363">
        <f>IFERROR(VLOOKUP(Table6[[#This Row],[Affected WTG]],'Basic Data'!$A$3:$E$56,5,0),"")</f>
        <v>2.564102564102564E-2</v>
      </c>
      <c r="K835" s="121">
        <v>5216</v>
      </c>
      <c r="L835" s="39" t="str">
        <f>IFERROR(VLOOKUP(Table6[[#This Row],[Error Code]],'Basic Data'!$T:$U,2,0),"")</f>
        <v>Grid Voltage Failure</v>
      </c>
      <c r="M835" s="364" t="s">
        <v>462</v>
      </c>
      <c r="O835" s="346">
        <v>0</v>
      </c>
      <c r="P835" s="346">
        <v>0.99998842592592596</v>
      </c>
      <c r="Q835" s="346">
        <v>0.99998842592592596</v>
      </c>
      <c r="R835" s="366">
        <f>IF(Table6[[#This Row],[Work Start TimeStamp]]="","",(Table6[[#This Row],[Work Start TimeStamp]]-Table6[[#This Row],[Fault Start TimeStamp]])*24)</f>
        <v>23.999722222222225</v>
      </c>
      <c r="S835" s="377">
        <f>(Table6[[#This Row],[Fault Clearance time]]-Table6[[#This Row],[Work Start TimeStamp]])*24</f>
        <v>0</v>
      </c>
      <c r="T835" s="380">
        <f>(Table6[[#This Row],[Fault Clearance time]]-Table6[[#This Row],[Fault Start TimeStamp]])*24</f>
        <v>23.999722222222225</v>
      </c>
      <c r="U835" s="364" t="s">
        <v>1247</v>
      </c>
      <c r="V835" s="364" t="s">
        <v>473</v>
      </c>
      <c r="W835" s="355">
        <f>Table6[[#This Row],[Breakdown Time]]*(1/39)</f>
        <v>0.61537749287749288</v>
      </c>
      <c r="X835" s="353" t="s">
        <v>465</v>
      </c>
      <c r="Y835" s="364" t="s">
        <v>130</v>
      </c>
      <c r="Z835" s="121">
        <v>26511</v>
      </c>
      <c r="AA835" s="123">
        <f>IFERROR((Table6[[#This Row],[Paired WTG Generation for loss calculation]]/24)*Table6[[#This Row],[Breakdown Time]],"")</f>
        <v>26510.693159722225</v>
      </c>
      <c r="AB835" s="121" t="s">
        <v>478</v>
      </c>
    </row>
    <row r="836" spans="1:28">
      <c r="A836" s="121">
        <f t="shared" ref="A836:A900" si="13">A835+1</f>
        <v>835</v>
      </c>
      <c r="B836" s="379">
        <f>YEAR(Table6[[#This Row],[Date]])+IF(MONTH(Table6[[#This Row],[Date]])&gt;=4,1,0)</f>
        <v>2026</v>
      </c>
      <c r="C836" s="39">
        <f>YEAR(Table6[[#This Row],[Date]])</f>
        <v>2025</v>
      </c>
      <c r="D836" s="39" t="s">
        <v>490</v>
      </c>
      <c r="E836" s="135">
        <f>Table6[[#This Row],[Date]]-DAY(Table6[[#This Row],[Date]])+1</f>
        <v>45809</v>
      </c>
      <c r="F836" s="134">
        <v>45829</v>
      </c>
      <c r="G836" s="121" t="s">
        <v>137</v>
      </c>
      <c r="H836" s="39" t="str">
        <f>_xlfn.XLOOKUP(Table6[[#This Row],[Affected WTG]],'Basic Data'!$A:$A,'Basic Data'!$B:$B)</f>
        <v>PWEGPL</v>
      </c>
      <c r="I836" s="39" t="str">
        <f>_xlfn.XLOOKUP(Table6[[#This Row],[Affected WTG]],'Basic Data'!$A:$A,'Basic Data'!$C:$C)</f>
        <v>MSEDCL</v>
      </c>
      <c r="J836" s="363">
        <f>IFERROR(VLOOKUP(Table6[[#This Row],[Affected WTG]],'Basic Data'!$A$3:$E$56,5,0),"")</f>
        <v>2.564102564102564E-2</v>
      </c>
      <c r="K836" s="121">
        <v>222</v>
      </c>
      <c r="L836" s="39" t="str">
        <f>IFERROR(VLOOKUP(Table6[[#This Row],[Error Code]],'Basic Data'!$T:$U,2,0),"")</f>
        <v>Very Low Pressure On Hydraulic Unit</v>
      </c>
      <c r="M836" s="364" t="s">
        <v>462</v>
      </c>
      <c r="O836" s="346">
        <v>0.73958333333333337</v>
      </c>
      <c r="P836" s="346">
        <v>0.75416666666666665</v>
      </c>
      <c r="Q836" s="346">
        <v>0.78472222222222221</v>
      </c>
      <c r="R836" s="366">
        <f>IF(Table6[[#This Row],[Work Start TimeStamp]]="","",(Table6[[#This Row],[Work Start TimeStamp]]-Table6[[#This Row],[Fault Start TimeStamp]])*24)</f>
        <v>0.34999999999999876</v>
      </c>
      <c r="S836" s="377">
        <f>(Table6[[#This Row],[Fault Clearance time]]-Table6[[#This Row],[Work Start TimeStamp]])*24</f>
        <v>0.73333333333333339</v>
      </c>
      <c r="T836" s="380">
        <f>(Table6[[#This Row],[Fault Clearance time]]-Table6[[#This Row],[Fault Start TimeStamp]])*24</f>
        <v>1.0833333333333321</v>
      </c>
      <c r="U836" s="364" t="s">
        <v>1280</v>
      </c>
      <c r="V836" s="364" t="s">
        <v>463</v>
      </c>
      <c r="W836" s="355">
        <f>Table6[[#This Row],[Breakdown Time]]*(1/39)</f>
        <v>2.7777777777777745E-2</v>
      </c>
      <c r="X836" s="353" t="s">
        <v>465</v>
      </c>
      <c r="Y836" s="364" t="s">
        <v>136</v>
      </c>
      <c r="Z836" s="121">
        <v>25573</v>
      </c>
      <c r="AA836" s="123">
        <f>IFERROR((Table6[[#This Row],[Paired WTG Generation for loss calculation]]/24)*Table6[[#This Row],[Breakdown Time]],"")</f>
        <v>1154.3368055555543</v>
      </c>
      <c r="AB836" s="121" t="s">
        <v>478</v>
      </c>
    </row>
    <row r="837" spans="1:28">
      <c r="A837" s="121">
        <f t="shared" si="13"/>
        <v>836</v>
      </c>
      <c r="B837" s="379">
        <f>YEAR(Table6[[#This Row],[Date]])+IF(MONTH(Table6[[#This Row],[Date]])&gt;=4,1,0)</f>
        <v>2026</v>
      </c>
      <c r="C837" s="39">
        <f>YEAR(Table6[[#This Row],[Date]])</f>
        <v>2025</v>
      </c>
      <c r="D837" s="39" t="s">
        <v>490</v>
      </c>
      <c r="E837" s="135">
        <f>Table6[[#This Row],[Date]]-DAY(Table6[[#This Row],[Date]])+1</f>
        <v>45809</v>
      </c>
      <c r="F837" s="134">
        <v>45829</v>
      </c>
      <c r="G837" s="121" t="s">
        <v>124</v>
      </c>
      <c r="H837" s="39" t="str">
        <f>_xlfn.XLOOKUP(Table6[[#This Row],[Affected WTG]],'Basic Data'!$A:$A,'Basic Data'!$B:$B)</f>
        <v>PWEGPL</v>
      </c>
      <c r="I837" s="39" t="str">
        <f>_xlfn.XLOOKUP(Table6[[#This Row],[Affected WTG]],'Basic Data'!$A:$A,'Basic Data'!$C:$C)</f>
        <v>MSEDCL</v>
      </c>
      <c r="J837" s="363">
        <f>IFERROR(VLOOKUP(Table6[[#This Row],[Affected WTG]],'Basic Data'!$A$3:$E$56,5,0),"")</f>
        <v>2.564102564102564E-2</v>
      </c>
      <c r="K837" s="121" t="s">
        <v>466</v>
      </c>
      <c r="L837" s="39" t="str">
        <f>IFERROR(VLOOKUP(Table6[[#This Row],[Error Code]],'Basic Data'!$T:$U,2,0),"")</f>
        <v>Manual Stop</v>
      </c>
      <c r="M837" s="364" t="s">
        <v>479</v>
      </c>
      <c r="O837" s="346">
        <v>0.51388888888888884</v>
      </c>
      <c r="P837" s="346">
        <v>0.51388888888888884</v>
      </c>
      <c r="Q837" s="346">
        <v>0.5625</v>
      </c>
      <c r="R837" s="366">
        <f>IF(Table6[[#This Row],[Work Start TimeStamp]]="","",(Table6[[#This Row],[Work Start TimeStamp]]-Table6[[#This Row],[Fault Start TimeStamp]])*24)</f>
        <v>0</v>
      </c>
      <c r="S837" s="377">
        <f>(Table6[[#This Row],[Fault Clearance time]]-Table6[[#This Row],[Work Start TimeStamp]])*24</f>
        <v>1.1666666666666679</v>
      </c>
      <c r="T837" s="380">
        <f>(Table6[[#This Row],[Fault Clearance time]]-Table6[[#This Row],[Fault Start TimeStamp]])*24</f>
        <v>1.1666666666666679</v>
      </c>
      <c r="U837" s="364" t="s">
        <v>1281</v>
      </c>
      <c r="V837" s="364" t="s">
        <v>463</v>
      </c>
      <c r="W837" s="355">
        <f>Table6[[#This Row],[Breakdown Time]]*(1/39)</f>
        <v>2.9914529914529944E-2</v>
      </c>
      <c r="X837" s="353" t="s">
        <v>464</v>
      </c>
      <c r="Y837" s="364" t="s">
        <v>122</v>
      </c>
      <c r="Z837" s="121">
        <v>25213</v>
      </c>
      <c r="AA837" s="123">
        <f>IFERROR((Table6[[#This Row],[Paired WTG Generation for loss calculation]]/24)*Table6[[#This Row],[Breakdown Time]],"")</f>
        <v>1225.6319444444457</v>
      </c>
      <c r="AB837" s="121" t="s">
        <v>478</v>
      </c>
    </row>
    <row r="838" spans="1:28">
      <c r="A838" s="121">
        <f t="shared" si="13"/>
        <v>837</v>
      </c>
      <c r="B838" s="379">
        <f>YEAR(Table6[[#This Row],[Date]])+IF(MONTH(Table6[[#This Row],[Date]])&gt;=4,1,0)</f>
        <v>2026</v>
      </c>
      <c r="C838" s="39">
        <f>YEAR(Table6[[#This Row],[Date]])</f>
        <v>2025</v>
      </c>
      <c r="D838" s="39" t="s">
        <v>490</v>
      </c>
      <c r="E838" s="135">
        <f>Table6[[#This Row],[Date]]-DAY(Table6[[#This Row],[Date]])+1</f>
        <v>45809</v>
      </c>
      <c r="F838" s="134">
        <v>45829</v>
      </c>
      <c r="G838" s="121" t="s">
        <v>146</v>
      </c>
      <c r="H838" s="39" t="str">
        <f>_xlfn.XLOOKUP(Table6[[#This Row],[Affected WTG]],'Basic Data'!$A:$A,'Basic Data'!$B:$B)</f>
        <v>PWEGPL</v>
      </c>
      <c r="I838" s="39" t="str">
        <f>_xlfn.XLOOKUP(Table6[[#This Row],[Affected WTG]],'Basic Data'!$A:$A,'Basic Data'!$C:$C)</f>
        <v>MSEDCL</v>
      </c>
      <c r="J838" s="363">
        <f>IFERROR(VLOOKUP(Table6[[#This Row],[Affected WTG]],'Basic Data'!$A$3:$E$56,5,0),"")</f>
        <v>2.564102564102564E-2</v>
      </c>
      <c r="K838" s="121">
        <v>804</v>
      </c>
      <c r="L838" s="39" t="str">
        <f>IFERROR(VLOOKUP(Table6[[#This Row],[Error Code]],'Basic Data'!$T:$U,2,0),"")</f>
        <v>Difference Between 2 Blades Too High</v>
      </c>
      <c r="M838" s="364" t="s">
        <v>462</v>
      </c>
      <c r="O838" s="346">
        <v>0.57291666666666663</v>
      </c>
      <c r="P838" s="346">
        <v>0.59305555555555556</v>
      </c>
      <c r="Q838" s="346">
        <v>0.67777777777777781</v>
      </c>
      <c r="R838" s="366">
        <f>IF(Table6[[#This Row],[Work Start TimeStamp]]="","",(Table6[[#This Row],[Work Start TimeStamp]]-Table6[[#This Row],[Fault Start TimeStamp]])*24)</f>
        <v>0.48333333333333428</v>
      </c>
      <c r="S838" s="377">
        <f>(Table6[[#This Row],[Fault Clearance time]]-Table6[[#This Row],[Work Start TimeStamp]])*24</f>
        <v>2.0333333333333341</v>
      </c>
      <c r="T838" s="380">
        <f>(Table6[[#This Row],[Fault Clearance time]]-Table6[[#This Row],[Fault Start TimeStamp]])*24</f>
        <v>2.5166666666666684</v>
      </c>
      <c r="U838" s="364" t="s">
        <v>1282</v>
      </c>
      <c r="V838" s="364" t="s">
        <v>463</v>
      </c>
      <c r="W838" s="355">
        <f>Table6[[#This Row],[Breakdown Time]]*(1/39)</f>
        <v>6.4529914529914578E-2</v>
      </c>
      <c r="X838" s="353" t="s">
        <v>465</v>
      </c>
      <c r="Y838" s="364" t="s">
        <v>147</v>
      </c>
      <c r="Z838" s="121">
        <v>24836</v>
      </c>
      <c r="AA838" s="123">
        <f>IFERROR((Table6[[#This Row],[Paired WTG Generation for loss calculation]]/24)*Table6[[#This Row],[Breakdown Time]],"")</f>
        <v>2604.3305555555571</v>
      </c>
      <c r="AB838" s="121" t="s">
        <v>478</v>
      </c>
    </row>
    <row r="839" spans="1:28">
      <c r="A839" s="121">
        <f t="shared" si="13"/>
        <v>838</v>
      </c>
      <c r="B839" s="379">
        <f>YEAR(Table6[[#This Row],[Date]])+IF(MONTH(Table6[[#This Row],[Date]])&gt;=4,1,0)</f>
        <v>2026</v>
      </c>
      <c r="C839" s="39">
        <f>YEAR(Table6[[#This Row],[Date]])</f>
        <v>2025</v>
      </c>
      <c r="D839" s="39" t="s">
        <v>490</v>
      </c>
      <c r="E839" s="135">
        <f>Table6[[#This Row],[Date]]-DAY(Table6[[#This Row],[Date]])+1</f>
        <v>45809</v>
      </c>
      <c r="F839" s="134">
        <v>45829</v>
      </c>
      <c r="G839" s="121" t="s">
        <v>126</v>
      </c>
      <c r="H839" s="39" t="str">
        <f>_xlfn.XLOOKUP(Table6[[#This Row],[Affected WTG]],'Basic Data'!$A:$A,'Basic Data'!$B:$B)</f>
        <v>PWEGPL</v>
      </c>
      <c r="I839" s="39" t="str">
        <f>_xlfn.XLOOKUP(Table6[[#This Row],[Affected WTG]],'Basic Data'!$A:$A,'Basic Data'!$C:$C)</f>
        <v>MSEDCL</v>
      </c>
      <c r="J839" s="363">
        <f>IFERROR(VLOOKUP(Table6[[#This Row],[Affected WTG]],'Basic Data'!$A$3:$E$56,5,0),"")</f>
        <v>2.564102564102564E-2</v>
      </c>
      <c r="K839" s="121">
        <v>203</v>
      </c>
      <c r="L839" s="39" t="str">
        <f>IFERROR(VLOOKUP(Table6[[#This Row],[Error Code]],'Basic Data'!$T:$U,2,0),"")</f>
        <v>Low Pressure On Hydraulic Group</v>
      </c>
      <c r="M839" s="364" t="s">
        <v>462</v>
      </c>
      <c r="O839" s="346">
        <v>0.48749999999999999</v>
      </c>
      <c r="P839" s="346">
        <v>0.48749999999999999</v>
      </c>
      <c r="Q839" s="346">
        <v>0.80277777777777781</v>
      </c>
      <c r="R839" s="366">
        <f>IF(Table6[[#This Row],[Work Start TimeStamp]]="","",(Table6[[#This Row],[Work Start TimeStamp]]-Table6[[#This Row],[Fault Start TimeStamp]])*24)</f>
        <v>0</v>
      </c>
      <c r="S839" s="377">
        <f>(Table6[[#This Row],[Fault Clearance time]]-Table6[[#This Row],[Work Start TimeStamp]])*24</f>
        <v>7.5666666666666682</v>
      </c>
      <c r="T839" s="380">
        <f>(Table6[[#This Row],[Fault Clearance time]]-Table6[[#This Row],[Fault Start TimeStamp]])*24</f>
        <v>7.5666666666666682</v>
      </c>
      <c r="U839" s="364" t="s">
        <v>1283</v>
      </c>
      <c r="V839" s="364" t="s">
        <v>463</v>
      </c>
      <c r="W839" s="355">
        <f>Table6[[#This Row],[Breakdown Time]]*(1/39)</f>
        <v>0.19401709401709405</v>
      </c>
      <c r="X839" s="353" t="s">
        <v>464</v>
      </c>
      <c r="Y839" s="364" t="s">
        <v>127</v>
      </c>
      <c r="Z839" s="121">
        <v>24356</v>
      </c>
      <c r="AA839" s="123">
        <f>IFERROR((Table6[[#This Row],[Paired WTG Generation for loss calculation]]/24)*Table6[[#This Row],[Breakdown Time]],"")</f>
        <v>7678.9055555555578</v>
      </c>
      <c r="AB839" s="121" t="s">
        <v>478</v>
      </c>
    </row>
    <row r="840" spans="1:28">
      <c r="A840" s="121">
        <f t="shared" si="13"/>
        <v>839</v>
      </c>
      <c r="B840" s="379">
        <f>YEAR(Table6[[#This Row],[Date]])+IF(MONTH(Table6[[#This Row],[Date]])&gt;=4,1,0)</f>
        <v>2026</v>
      </c>
      <c r="C840" s="39">
        <f>YEAR(Table6[[#This Row],[Date]])</f>
        <v>2025</v>
      </c>
      <c r="D840" s="39" t="s">
        <v>490</v>
      </c>
      <c r="E840" s="135">
        <f>Table6[[#This Row],[Date]]-DAY(Table6[[#This Row],[Date]])+1</f>
        <v>45809</v>
      </c>
      <c r="F840" s="134">
        <v>45829</v>
      </c>
      <c r="G840" s="121" t="s">
        <v>125</v>
      </c>
      <c r="H840" s="39" t="str">
        <f>_xlfn.XLOOKUP(Table6[[#This Row],[Affected WTG]],'Basic Data'!$A:$A,'Basic Data'!$B:$B)</f>
        <v>PWEGPL</v>
      </c>
      <c r="I840" s="39" t="str">
        <f>_xlfn.XLOOKUP(Table6[[#This Row],[Affected WTG]],'Basic Data'!$A:$A,'Basic Data'!$C:$C)</f>
        <v>MSEDCL</v>
      </c>
      <c r="J840" s="363">
        <f>IFERROR(VLOOKUP(Table6[[#This Row],[Affected WTG]],'Basic Data'!$A$3:$E$56,5,0),"")</f>
        <v>2.564102564102564E-2</v>
      </c>
      <c r="K840" s="121" t="s">
        <v>466</v>
      </c>
      <c r="L840" s="39" t="str">
        <f>IFERROR(VLOOKUP(Table6[[#This Row],[Error Code]],'Basic Data'!$T:$U,2,0),"")</f>
        <v>Manual Stop</v>
      </c>
      <c r="M840" s="364" t="s">
        <v>479</v>
      </c>
      <c r="O840" s="346">
        <v>0.52361111111111114</v>
      </c>
      <c r="P840" s="346">
        <v>0.52361111111111114</v>
      </c>
      <c r="Q840" s="346">
        <v>0.79305555555555551</v>
      </c>
      <c r="R840" s="366">
        <f>IF(Table6[[#This Row],[Work Start TimeStamp]]="","",(Table6[[#This Row],[Work Start TimeStamp]]-Table6[[#This Row],[Fault Start TimeStamp]])*24)</f>
        <v>0</v>
      </c>
      <c r="S840" s="377">
        <f>(Table6[[#This Row],[Fault Clearance time]]-Table6[[#This Row],[Work Start TimeStamp]])*24</f>
        <v>6.466666666666665</v>
      </c>
      <c r="T840" s="380">
        <f>(Table6[[#This Row],[Fault Clearance time]]-Table6[[#This Row],[Fault Start TimeStamp]])*24</f>
        <v>6.466666666666665</v>
      </c>
      <c r="U840" s="364" t="s">
        <v>1284</v>
      </c>
      <c r="V840" s="364" t="s">
        <v>463</v>
      </c>
      <c r="W840" s="355">
        <f>Table6[[#This Row],[Breakdown Time]]*(1/39)</f>
        <v>0.16581196581196575</v>
      </c>
      <c r="X840" s="353" t="s">
        <v>464</v>
      </c>
      <c r="Y840" s="364" t="s">
        <v>127</v>
      </c>
      <c r="Z840" s="121">
        <v>24356</v>
      </c>
      <c r="AA840" s="123">
        <f>IFERROR((Table6[[#This Row],[Paired WTG Generation for loss calculation]]/24)*Table6[[#This Row],[Breakdown Time]],"")</f>
        <v>6562.5888888888876</v>
      </c>
      <c r="AB840" s="121" t="s">
        <v>478</v>
      </c>
    </row>
    <row r="841" spans="1:28">
      <c r="A841" s="121">
        <f t="shared" si="13"/>
        <v>840</v>
      </c>
      <c r="B841" s="379">
        <f>YEAR(Table6[[#This Row],[Date]])+IF(MONTH(Table6[[#This Row],[Date]])&gt;=4,1,0)</f>
        <v>2026</v>
      </c>
      <c r="C841" s="39">
        <f>YEAR(Table6[[#This Row],[Date]])</f>
        <v>2025</v>
      </c>
      <c r="D841" s="39" t="s">
        <v>490</v>
      </c>
      <c r="E841" s="135">
        <f>Table6[[#This Row],[Date]]-DAY(Table6[[#This Row],[Date]])+1</f>
        <v>45809</v>
      </c>
      <c r="F841" s="134">
        <v>45830</v>
      </c>
      <c r="G841" s="121" t="s">
        <v>144</v>
      </c>
      <c r="H841" s="39" t="str">
        <f>_xlfn.XLOOKUP(Table6[[#This Row],[Affected WTG]],'Basic Data'!$A:$A,'Basic Data'!$B:$B)</f>
        <v>PWEGPL</v>
      </c>
      <c r="I841" s="39" t="str">
        <f>_xlfn.XLOOKUP(Table6[[#This Row],[Affected WTG]],'Basic Data'!$A:$A,'Basic Data'!$C:$C)</f>
        <v>MSEDCL</v>
      </c>
      <c r="J841" s="363">
        <f>IFERROR(VLOOKUP(Table6[[#This Row],[Affected WTG]],'Basic Data'!$A$3:$E$56,5,0),"")</f>
        <v>2.564102564102564E-2</v>
      </c>
      <c r="K841" s="121" t="s">
        <v>492</v>
      </c>
      <c r="L841" s="39" t="str">
        <f>IFERROR(VLOOKUP(Table6[[#This Row],[Error Code]],'Basic Data'!$T:$U,2,0),"")</f>
        <v>Manual Stop - Safety Related</v>
      </c>
      <c r="M841" s="364" t="s">
        <v>481</v>
      </c>
      <c r="O841" s="346">
        <v>0</v>
      </c>
      <c r="P841" s="346">
        <v>0.99998842592592596</v>
      </c>
      <c r="Q841" s="346">
        <v>0.99998842592592596</v>
      </c>
      <c r="R841" s="366">
        <f>IF(Table6[[#This Row],[Work Start TimeStamp]]="","",(Table6[[#This Row],[Work Start TimeStamp]]-Table6[[#This Row],[Fault Start TimeStamp]])*24)</f>
        <v>23.999722222222225</v>
      </c>
      <c r="S841" s="377">
        <f>(Table6[[#This Row],[Fault Clearance time]]-Table6[[#This Row],[Work Start TimeStamp]])*24</f>
        <v>0</v>
      </c>
      <c r="T841" s="380">
        <f>(Table6[[#This Row],[Fault Clearance time]]-Table6[[#This Row],[Fault Start TimeStamp]])*24</f>
        <v>23.999722222222225</v>
      </c>
      <c r="U841" s="364" t="s">
        <v>498</v>
      </c>
      <c r="V841" s="364" t="s">
        <v>473</v>
      </c>
      <c r="W841" s="355">
        <f>Table6[[#This Row],[Breakdown Time]]*(1/39)</f>
        <v>0.61537749287749288</v>
      </c>
      <c r="X841" s="353" t="s">
        <v>468</v>
      </c>
      <c r="Y841" s="364" t="s">
        <v>143</v>
      </c>
      <c r="Z841" s="121">
        <v>24532</v>
      </c>
      <c r="AA841" s="123">
        <f>IFERROR((Table6[[#This Row],[Paired WTG Generation for loss calculation]]/24)*Table6[[#This Row],[Breakdown Time]],"")</f>
        <v>24531.716064814816</v>
      </c>
      <c r="AB841" s="121" t="s">
        <v>478</v>
      </c>
    </row>
    <row r="842" spans="1:28">
      <c r="A842" s="121">
        <f t="shared" si="13"/>
        <v>841</v>
      </c>
      <c r="B842" s="379">
        <f>YEAR(Table6[[#This Row],[Date]])+IF(MONTH(Table6[[#This Row],[Date]])&gt;=4,1,0)</f>
        <v>2026</v>
      </c>
      <c r="C842" s="39">
        <f>YEAR(Table6[[#This Row],[Date]])</f>
        <v>2025</v>
      </c>
      <c r="D842" s="39" t="s">
        <v>490</v>
      </c>
      <c r="E842" s="135">
        <f>Table6[[#This Row],[Date]]-DAY(Table6[[#This Row],[Date]])+1</f>
        <v>45809</v>
      </c>
      <c r="F842" s="134">
        <v>45830</v>
      </c>
      <c r="G842" s="121" t="s">
        <v>142</v>
      </c>
      <c r="H842" s="39" t="str">
        <f>_xlfn.XLOOKUP(Table6[[#This Row],[Affected WTG]],'Basic Data'!$A:$A,'Basic Data'!$B:$B)</f>
        <v>PWEGPL</v>
      </c>
      <c r="I842" s="39" t="str">
        <f>_xlfn.XLOOKUP(Table6[[#This Row],[Affected WTG]],'Basic Data'!$A:$A,'Basic Data'!$C:$C)</f>
        <v>MSEDCL</v>
      </c>
      <c r="J842" s="363">
        <f>IFERROR(VLOOKUP(Table6[[#This Row],[Affected WTG]],'Basic Data'!$A$3:$E$56,5,0),"")</f>
        <v>2.564102564102564E-2</v>
      </c>
      <c r="K842" s="121" t="s">
        <v>492</v>
      </c>
      <c r="L842" s="39" t="str">
        <f>IFERROR(VLOOKUP(Table6[[#This Row],[Error Code]],'Basic Data'!$T:$U,2,0),"")</f>
        <v>Manual Stop - Safety Related</v>
      </c>
      <c r="M842" s="364" t="s">
        <v>481</v>
      </c>
      <c r="O842" s="346">
        <v>0</v>
      </c>
      <c r="P842" s="346">
        <v>0.99998842592592596</v>
      </c>
      <c r="Q842" s="346">
        <v>0.99998842592592596</v>
      </c>
      <c r="R842" s="366">
        <f>IF(Table6[[#This Row],[Work Start TimeStamp]]="","",(Table6[[#This Row],[Work Start TimeStamp]]-Table6[[#This Row],[Fault Start TimeStamp]])*24)</f>
        <v>23.999722222222225</v>
      </c>
      <c r="S842" s="377">
        <f>(Table6[[#This Row],[Fault Clearance time]]-Table6[[#This Row],[Work Start TimeStamp]])*24</f>
        <v>0</v>
      </c>
      <c r="T842" s="380">
        <f>(Table6[[#This Row],[Fault Clearance time]]-Table6[[#This Row],[Fault Start TimeStamp]])*24</f>
        <v>23.999722222222225</v>
      </c>
      <c r="U842" s="364" t="s">
        <v>498</v>
      </c>
      <c r="V842" s="364" t="s">
        <v>473</v>
      </c>
      <c r="W842" s="355">
        <f>Table6[[#This Row],[Breakdown Time]]*(1/39)</f>
        <v>0.61537749287749288</v>
      </c>
      <c r="X842" s="353" t="s">
        <v>468</v>
      </c>
      <c r="Y842" s="364" t="s">
        <v>143</v>
      </c>
      <c r="Z842" s="121">
        <v>24532</v>
      </c>
      <c r="AA842" s="123">
        <f>IFERROR((Table6[[#This Row],[Paired WTG Generation for loss calculation]]/24)*Table6[[#This Row],[Breakdown Time]],"")</f>
        <v>24531.716064814816</v>
      </c>
      <c r="AB842" s="121" t="s">
        <v>478</v>
      </c>
    </row>
    <row r="843" spans="1:28">
      <c r="A843" s="121">
        <f t="shared" si="13"/>
        <v>842</v>
      </c>
      <c r="B843" s="379">
        <f>YEAR(Table6[[#This Row],[Date]])+IF(MONTH(Table6[[#This Row],[Date]])&gt;=4,1,0)</f>
        <v>2026</v>
      </c>
      <c r="C843" s="39">
        <f>YEAR(Table6[[#This Row],[Date]])</f>
        <v>2025</v>
      </c>
      <c r="D843" s="39" t="s">
        <v>490</v>
      </c>
      <c r="E843" s="135">
        <f>Table6[[#This Row],[Date]]-DAY(Table6[[#This Row],[Date]])+1</f>
        <v>45809</v>
      </c>
      <c r="F843" s="134">
        <v>45830</v>
      </c>
      <c r="G843" s="121" t="s">
        <v>131</v>
      </c>
      <c r="H843" s="39" t="str">
        <f>_xlfn.XLOOKUP(Table6[[#This Row],[Affected WTG]],'Basic Data'!$A:$A,'Basic Data'!$B:$B)</f>
        <v>PWEGPL</v>
      </c>
      <c r="I843" s="39" t="str">
        <f>_xlfn.XLOOKUP(Table6[[#This Row],[Affected WTG]],'Basic Data'!$A:$A,'Basic Data'!$C:$C)</f>
        <v>MSEDCL</v>
      </c>
      <c r="J843" s="363">
        <f>IFERROR(VLOOKUP(Table6[[#This Row],[Affected WTG]],'Basic Data'!$A$3:$E$56,5,0),"")</f>
        <v>2.564102564102564E-2</v>
      </c>
      <c r="K843" s="121">
        <v>5216</v>
      </c>
      <c r="L843" s="39" t="str">
        <f>IFERROR(VLOOKUP(Table6[[#This Row],[Error Code]],'Basic Data'!$T:$U,2,0),"")</f>
        <v>Grid Voltage Failure</v>
      </c>
      <c r="M843" s="364" t="s">
        <v>462</v>
      </c>
      <c r="O843" s="346">
        <v>0</v>
      </c>
      <c r="P843" s="346">
        <v>0.99998842592592596</v>
      </c>
      <c r="Q843" s="346">
        <v>0.99998842592592596</v>
      </c>
      <c r="R843" s="366">
        <f>IF(Table6[[#This Row],[Work Start TimeStamp]]="","",(Table6[[#This Row],[Work Start TimeStamp]]-Table6[[#This Row],[Fault Start TimeStamp]])*24)</f>
        <v>23.999722222222225</v>
      </c>
      <c r="S843" s="377">
        <f>(Table6[[#This Row],[Fault Clearance time]]-Table6[[#This Row],[Work Start TimeStamp]])*24</f>
        <v>0</v>
      </c>
      <c r="T843" s="380">
        <f>(Table6[[#This Row],[Fault Clearance time]]-Table6[[#This Row],[Fault Start TimeStamp]])*24</f>
        <v>23.999722222222225</v>
      </c>
      <c r="U843" s="364" t="s">
        <v>1247</v>
      </c>
      <c r="V843" s="364" t="s">
        <v>473</v>
      </c>
      <c r="W843" s="355">
        <f>Table6[[#This Row],[Breakdown Time]]*(1/39)</f>
        <v>0.61537749287749288</v>
      </c>
      <c r="X843" s="353" t="s">
        <v>465</v>
      </c>
      <c r="Y843" s="364" t="s">
        <v>130</v>
      </c>
      <c r="Z843" s="121">
        <v>25412</v>
      </c>
      <c r="AA843" s="123">
        <f>IFERROR((Table6[[#This Row],[Paired WTG Generation for loss calculation]]/24)*Table6[[#This Row],[Breakdown Time]],"")</f>
        <v>25411.70587962963</v>
      </c>
      <c r="AB843" s="121" t="s">
        <v>478</v>
      </c>
    </row>
    <row r="844" spans="1:28">
      <c r="A844" s="121">
        <f t="shared" si="13"/>
        <v>843</v>
      </c>
      <c r="B844" s="379">
        <f>YEAR(Table6[[#This Row],[Date]])+IF(MONTH(Table6[[#This Row],[Date]])&gt;=4,1,0)</f>
        <v>2026</v>
      </c>
      <c r="C844" s="39">
        <f>YEAR(Table6[[#This Row],[Date]])</f>
        <v>2025</v>
      </c>
      <c r="D844" s="39" t="s">
        <v>490</v>
      </c>
      <c r="E844" s="135">
        <f>Table6[[#This Row],[Date]]-DAY(Table6[[#This Row],[Date]])+1</f>
        <v>45809</v>
      </c>
      <c r="F844" s="134">
        <v>45830</v>
      </c>
      <c r="G844" s="121" t="s">
        <v>126</v>
      </c>
      <c r="H844" s="39" t="str">
        <f>_xlfn.XLOOKUP(Table6[[#This Row],[Affected WTG]],'Basic Data'!$A:$A,'Basic Data'!$B:$B)</f>
        <v>PWEGPL</v>
      </c>
      <c r="I844" s="39" t="str">
        <f>_xlfn.XLOOKUP(Table6[[#This Row],[Affected WTG]],'Basic Data'!$A:$A,'Basic Data'!$C:$C)</f>
        <v>MSEDCL</v>
      </c>
      <c r="J844" s="363">
        <f>IFERROR(VLOOKUP(Table6[[#This Row],[Affected WTG]],'Basic Data'!$A$3:$E$56,5,0),"")</f>
        <v>2.564102564102564E-2</v>
      </c>
      <c r="K844" s="121">
        <v>203</v>
      </c>
      <c r="L844" s="39" t="str">
        <f>IFERROR(VLOOKUP(Table6[[#This Row],[Error Code]],'Basic Data'!$T:$U,2,0),"")</f>
        <v>Low Pressure On Hydraulic Group</v>
      </c>
      <c r="M844" s="364" t="s">
        <v>462</v>
      </c>
      <c r="O844" s="346">
        <v>0.45694444444444443</v>
      </c>
      <c r="P844" s="346">
        <v>0.47569444444444442</v>
      </c>
      <c r="Q844" s="346">
        <v>0.56805555555555554</v>
      </c>
      <c r="R844" s="366">
        <f>IF(Table6[[#This Row],[Work Start TimeStamp]]="","",(Table6[[#This Row],[Work Start TimeStamp]]-Table6[[#This Row],[Fault Start TimeStamp]])*24)</f>
        <v>0.44999999999999973</v>
      </c>
      <c r="S844" s="377">
        <f>(Table6[[#This Row],[Fault Clearance time]]-Table6[[#This Row],[Work Start TimeStamp]])*24</f>
        <v>2.2166666666666668</v>
      </c>
      <c r="T844" s="380">
        <f>(Table6[[#This Row],[Fault Clearance time]]-Table6[[#This Row],[Fault Start TimeStamp]])*24</f>
        <v>2.6666666666666665</v>
      </c>
      <c r="U844" s="364" t="s">
        <v>1285</v>
      </c>
      <c r="V844" s="364" t="s">
        <v>463</v>
      </c>
      <c r="W844" s="355">
        <f>Table6[[#This Row],[Breakdown Time]]*(1/39)</f>
        <v>6.8376068376068369E-2</v>
      </c>
      <c r="X844" s="353" t="s">
        <v>465</v>
      </c>
      <c r="Y844" s="364" t="s">
        <v>127</v>
      </c>
      <c r="Z844" s="121">
        <v>24623</v>
      </c>
      <c r="AA844" s="123">
        <f>IFERROR((Table6[[#This Row],[Paired WTG Generation for loss calculation]]/24)*Table6[[#This Row],[Breakdown Time]],"")</f>
        <v>2735.8888888888887</v>
      </c>
      <c r="AB844" s="121" t="s">
        <v>478</v>
      </c>
    </row>
    <row r="845" spans="1:28">
      <c r="A845" s="121">
        <f t="shared" si="13"/>
        <v>844</v>
      </c>
      <c r="B845" s="379">
        <f>YEAR(Table6[[#This Row],[Date]])+IF(MONTH(Table6[[#This Row],[Date]])&gt;=4,1,0)</f>
        <v>2026</v>
      </c>
      <c r="C845" s="39">
        <f>YEAR(Table6[[#This Row],[Date]])</f>
        <v>2025</v>
      </c>
      <c r="D845" s="39" t="s">
        <v>490</v>
      </c>
      <c r="E845" s="135">
        <f>Table6[[#This Row],[Date]]-DAY(Table6[[#This Row],[Date]])+1</f>
        <v>45809</v>
      </c>
      <c r="F845" s="134">
        <v>45830</v>
      </c>
      <c r="G845" s="121" t="s">
        <v>134</v>
      </c>
      <c r="H845" s="39" t="str">
        <f>_xlfn.XLOOKUP(Table6[[#This Row],[Affected WTG]],'Basic Data'!$A:$A,'Basic Data'!$B:$B)</f>
        <v>PWEGPL</v>
      </c>
      <c r="I845" s="39" t="str">
        <f>_xlfn.XLOOKUP(Table6[[#This Row],[Affected WTG]],'Basic Data'!$A:$A,'Basic Data'!$C:$C)</f>
        <v>MSEDCL</v>
      </c>
      <c r="J845" s="363">
        <f>IFERROR(VLOOKUP(Table6[[#This Row],[Affected WTG]],'Basic Data'!$A$3:$E$56,5,0),"")</f>
        <v>2.564102564102564E-2</v>
      </c>
      <c r="K845" s="121">
        <v>102</v>
      </c>
      <c r="L845" s="39" t="str">
        <f>IFERROR(VLOOKUP(Table6[[#This Row],[Error Code]],'Basic Data'!$T:$U,2,0),"")</f>
        <v>CW Feedback Failure</v>
      </c>
      <c r="M845" s="364" t="s">
        <v>462</v>
      </c>
      <c r="O845" s="346">
        <v>0.7270833333333333</v>
      </c>
      <c r="P845" s="346">
        <v>0.74930555555555556</v>
      </c>
      <c r="Q845" s="346">
        <v>0.77430555555555558</v>
      </c>
      <c r="R845" s="366">
        <f>IF(Table6[[#This Row],[Work Start TimeStamp]]="","",(Table6[[#This Row],[Work Start TimeStamp]]-Table6[[#This Row],[Fault Start TimeStamp]])*24)</f>
        <v>0.5333333333333341</v>
      </c>
      <c r="S845" s="377">
        <f>(Table6[[#This Row],[Fault Clearance time]]-Table6[[#This Row],[Work Start TimeStamp]])*24</f>
        <v>0.60000000000000053</v>
      </c>
      <c r="T845" s="380">
        <f>(Table6[[#This Row],[Fault Clearance time]]-Table6[[#This Row],[Fault Start TimeStamp]])*24</f>
        <v>1.1333333333333346</v>
      </c>
      <c r="U845" s="364" t="s">
        <v>1286</v>
      </c>
      <c r="V845" s="364" t="s">
        <v>463</v>
      </c>
      <c r="W845" s="355">
        <f>Table6[[#This Row],[Breakdown Time]]*(1/39)</f>
        <v>2.9059829059829092E-2</v>
      </c>
      <c r="X845" s="353" t="s">
        <v>465</v>
      </c>
      <c r="Y845" s="364" t="s">
        <v>133</v>
      </c>
      <c r="Z845" s="121">
        <v>25612</v>
      </c>
      <c r="AA845" s="123">
        <f>IFERROR((Table6[[#This Row],[Paired WTG Generation for loss calculation]]/24)*Table6[[#This Row],[Breakdown Time]],"")</f>
        <v>1209.4555555555571</v>
      </c>
      <c r="AB845" s="121" t="s">
        <v>478</v>
      </c>
    </row>
    <row r="846" spans="1:28">
      <c r="A846" s="121">
        <f t="shared" si="13"/>
        <v>845</v>
      </c>
      <c r="B846" s="379">
        <f>YEAR(Table6[[#This Row],[Date]])+IF(MONTH(Table6[[#This Row],[Date]])&gt;=4,1,0)</f>
        <v>2026</v>
      </c>
      <c r="C846" s="39">
        <f>YEAR(Table6[[#This Row],[Date]])</f>
        <v>2025</v>
      </c>
      <c r="D846" s="39" t="s">
        <v>490</v>
      </c>
      <c r="E846" s="135">
        <f>Table6[[#This Row],[Date]]-DAY(Table6[[#This Row],[Date]])+1</f>
        <v>45809</v>
      </c>
      <c r="F846" s="134">
        <v>45830</v>
      </c>
      <c r="G846" s="121" t="s">
        <v>116</v>
      </c>
      <c r="H846" s="39" t="str">
        <f>_xlfn.XLOOKUP(Table6[[#This Row],[Affected WTG]],'Basic Data'!$A:$A,'Basic Data'!$B:$B)</f>
        <v>PWEGPL</v>
      </c>
      <c r="I846" s="39" t="str">
        <f>_xlfn.XLOOKUP(Table6[[#This Row],[Affected WTG]],'Basic Data'!$A:$A,'Basic Data'!$C:$C)</f>
        <v>MSEDCL</v>
      </c>
      <c r="J846" s="363">
        <f>IFERROR(VLOOKUP(Table6[[#This Row],[Affected WTG]],'Basic Data'!$A$3:$E$56,5,0),"")</f>
        <v>2.564102564102564E-2</v>
      </c>
      <c r="K846" s="121">
        <v>2118</v>
      </c>
      <c r="L846" s="39" t="str">
        <f>IFERROR(VLOOKUP(Table6[[#This Row],[Error Code]],'Basic Data'!$T:$U,2,0),"")</f>
        <v>Bus Error - Interbus Failure</v>
      </c>
      <c r="M846" s="364" t="s">
        <v>462</v>
      </c>
      <c r="O846" s="346">
        <v>0.46041666666666664</v>
      </c>
      <c r="P846" s="346">
        <v>0.48194444444444445</v>
      </c>
      <c r="Q846" s="346">
        <v>0.53402777777777777</v>
      </c>
      <c r="R846" s="366">
        <f>IF(Table6[[#This Row],[Work Start TimeStamp]]="","",(Table6[[#This Row],[Work Start TimeStamp]]-Table6[[#This Row],[Fault Start TimeStamp]])*24)</f>
        <v>0.5166666666666675</v>
      </c>
      <c r="S846" s="377">
        <f>(Table6[[#This Row],[Fault Clearance time]]-Table6[[#This Row],[Work Start TimeStamp]])*24</f>
        <v>1.2499999999999996</v>
      </c>
      <c r="T846" s="380">
        <f>(Table6[[#This Row],[Fault Clearance time]]-Table6[[#This Row],[Fault Start TimeStamp]])*24</f>
        <v>1.7666666666666671</v>
      </c>
      <c r="U846" s="364" t="s">
        <v>1244</v>
      </c>
      <c r="V846" s="364" t="s">
        <v>463</v>
      </c>
      <c r="W846" s="355">
        <f>Table6[[#This Row],[Breakdown Time]]*(1/39)</f>
        <v>4.5299145299145305E-2</v>
      </c>
      <c r="X846" s="353" t="s">
        <v>465</v>
      </c>
      <c r="Y846" s="364" t="s">
        <v>118</v>
      </c>
      <c r="Z846" s="121">
        <v>24987</v>
      </c>
      <c r="AA846" s="123">
        <f>IFERROR((Table6[[#This Row],[Paired WTG Generation for loss calculation]]/24)*Table6[[#This Row],[Breakdown Time]],"")</f>
        <v>1839.3208333333337</v>
      </c>
      <c r="AB846" s="121" t="s">
        <v>478</v>
      </c>
    </row>
    <row r="847" spans="1:28">
      <c r="A847" s="121">
        <f t="shared" si="13"/>
        <v>846</v>
      </c>
      <c r="B847" s="379">
        <f>YEAR(Table6[[#This Row],[Date]])+IF(MONTH(Table6[[#This Row],[Date]])&gt;=4,1,0)</f>
        <v>2026</v>
      </c>
      <c r="C847" s="39">
        <f>YEAR(Table6[[#This Row],[Date]])</f>
        <v>2025</v>
      </c>
      <c r="D847" s="39" t="s">
        <v>490</v>
      </c>
      <c r="E847" s="135">
        <f>Table6[[#This Row],[Date]]-DAY(Table6[[#This Row],[Date]])+1</f>
        <v>45809</v>
      </c>
      <c r="F847" s="134">
        <v>45830</v>
      </c>
      <c r="G847" s="121" t="s">
        <v>151</v>
      </c>
      <c r="H847" s="39" t="str">
        <f>_xlfn.XLOOKUP(Table6[[#This Row],[Affected WTG]],'Basic Data'!$A:$A,'Basic Data'!$B:$B)</f>
        <v>PWEGPL</v>
      </c>
      <c r="I847" s="39" t="str">
        <f>_xlfn.XLOOKUP(Table6[[#This Row],[Affected WTG]],'Basic Data'!$A:$A,'Basic Data'!$C:$C)</f>
        <v>MSEDCL</v>
      </c>
      <c r="J847" s="363">
        <f>IFERROR(VLOOKUP(Table6[[#This Row],[Affected WTG]],'Basic Data'!$A$3:$E$56,5,0),"")</f>
        <v>2.564102564102564E-2</v>
      </c>
      <c r="K847" s="121">
        <v>2118</v>
      </c>
      <c r="L847" s="39" t="str">
        <f>IFERROR(VLOOKUP(Table6[[#This Row],[Error Code]],'Basic Data'!$T:$U,2,0),"")</f>
        <v>Bus Error - Interbus Failure</v>
      </c>
      <c r="M847" s="364" t="s">
        <v>462</v>
      </c>
      <c r="O847" s="346">
        <v>0.44097222222222221</v>
      </c>
      <c r="P847" s="346">
        <v>0.45694444444444443</v>
      </c>
      <c r="Q847" s="346">
        <v>0.45902777777777776</v>
      </c>
      <c r="R847" s="366">
        <f>IF(Table6[[#This Row],[Work Start TimeStamp]]="","",(Table6[[#This Row],[Work Start TimeStamp]]-Table6[[#This Row],[Fault Start TimeStamp]])*24)</f>
        <v>0.3833333333333333</v>
      </c>
      <c r="S847" s="377">
        <f>(Table6[[#This Row],[Fault Clearance time]]-Table6[[#This Row],[Work Start TimeStamp]])*24</f>
        <v>4.9999999999999822E-2</v>
      </c>
      <c r="T847" s="380">
        <f>(Table6[[#This Row],[Fault Clearance time]]-Table6[[#This Row],[Fault Start TimeStamp]])*24</f>
        <v>0.43333333333333313</v>
      </c>
      <c r="U847" s="364" t="s">
        <v>493</v>
      </c>
      <c r="V847" s="364" t="s">
        <v>463</v>
      </c>
      <c r="W847" s="355">
        <f>Table6[[#This Row],[Breakdown Time]]*(1/39)</f>
        <v>1.1111111111111105E-2</v>
      </c>
      <c r="X847" s="353" t="s">
        <v>465</v>
      </c>
      <c r="Y847" s="364" t="s">
        <v>152</v>
      </c>
      <c r="Z847" s="121">
        <v>25472</v>
      </c>
      <c r="AA847" s="123">
        <f>IFERROR((Table6[[#This Row],[Paired WTG Generation for loss calculation]]/24)*Table6[[#This Row],[Breakdown Time]],"")</f>
        <v>459.91111111111087</v>
      </c>
      <c r="AB847" s="121" t="s">
        <v>478</v>
      </c>
    </row>
    <row r="848" spans="1:28">
      <c r="A848" s="121">
        <f t="shared" si="13"/>
        <v>847</v>
      </c>
      <c r="B848" s="379">
        <f>YEAR(Table6[[#This Row],[Date]])+IF(MONTH(Table6[[#This Row],[Date]])&gt;=4,1,0)</f>
        <v>2026</v>
      </c>
      <c r="C848" s="39">
        <f>YEAR(Table6[[#This Row],[Date]])</f>
        <v>2025</v>
      </c>
      <c r="D848" s="39" t="s">
        <v>490</v>
      </c>
      <c r="E848" s="135">
        <f>Table6[[#This Row],[Date]]-DAY(Table6[[#This Row],[Date]])+1</f>
        <v>45809</v>
      </c>
      <c r="F848" s="134">
        <v>45830</v>
      </c>
      <c r="G848" s="121" t="s">
        <v>126</v>
      </c>
      <c r="H848" s="39" t="str">
        <f>_xlfn.XLOOKUP(Table6[[#This Row],[Affected WTG]],'Basic Data'!$A:$A,'Basic Data'!$B:$B)</f>
        <v>PWEGPL</v>
      </c>
      <c r="I848" s="39" t="str">
        <f>_xlfn.XLOOKUP(Table6[[#This Row],[Affected WTG]],'Basic Data'!$A:$A,'Basic Data'!$C:$C)</f>
        <v>MSEDCL</v>
      </c>
      <c r="J848" s="363">
        <f>IFERROR(VLOOKUP(Table6[[#This Row],[Affected WTG]],'Basic Data'!$A$3:$E$56,5,0),"")</f>
        <v>2.564102564102564E-2</v>
      </c>
      <c r="K848" s="121">
        <v>203</v>
      </c>
      <c r="L848" s="39" t="str">
        <f>IFERROR(VLOOKUP(Table6[[#This Row],[Error Code]],'Basic Data'!$T:$U,2,0),"")</f>
        <v>Low Pressure On Hydraulic Group</v>
      </c>
      <c r="M848" s="364" t="s">
        <v>462</v>
      </c>
      <c r="O848" s="346">
        <v>5.6944444444444443E-2</v>
      </c>
      <c r="P848" s="346">
        <v>7.8472222222222221E-2</v>
      </c>
      <c r="Q848" s="346">
        <v>0.15277777777777779</v>
      </c>
      <c r="R848" s="366">
        <f>IF(Table6[[#This Row],[Work Start TimeStamp]]="","",(Table6[[#This Row],[Work Start TimeStamp]]-Table6[[#This Row],[Fault Start TimeStamp]])*24)</f>
        <v>0.51666666666666661</v>
      </c>
      <c r="S848" s="377">
        <f>(Table6[[#This Row],[Fault Clearance time]]-Table6[[#This Row],[Work Start TimeStamp]])*24</f>
        <v>1.7833333333333337</v>
      </c>
      <c r="T848" s="380">
        <f>(Table6[[#This Row],[Fault Clearance time]]-Table6[[#This Row],[Fault Start TimeStamp]])*24</f>
        <v>2.3000000000000007</v>
      </c>
      <c r="U848" s="364" t="s">
        <v>1287</v>
      </c>
      <c r="V848" s="364" t="s">
        <v>463</v>
      </c>
      <c r="W848" s="355">
        <f>Table6[[#This Row],[Breakdown Time]]*(1/39)</f>
        <v>5.8974358974358994E-2</v>
      </c>
      <c r="X848" s="353" t="s">
        <v>465</v>
      </c>
      <c r="Y848" s="364" t="s">
        <v>127</v>
      </c>
      <c r="Z848" s="121">
        <v>24623</v>
      </c>
      <c r="AA848" s="123">
        <f>IFERROR((Table6[[#This Row],[Paired WTG Generation for loss calculation]]/24)*Table6[[#This Row],[Breakdown Time]],"")</f>
        <v>2359.7041666666673</v>
      </c>
      <c r="AB848" s="121" t="s">
        <v>478</v>
      </c>
    </row>
    <row r="849" spans="1:30">
      <c r="A849" s="121">
        <f t="shared" si="13"/>
        <v>848</v>
      </c>
      <c r="B849" s="381">
        <f>YEAR(Table6[[#This Row],[Date]])+IF(MONTH(Table6[[#This Row],[Date]])&gt;=4,1,0)</f>
        <v>2026</v>
      </c>
      <c r="C849" s="382">
        <f>YEAR(Table6[[#This Row],[Date]])</f>
        <v>2025</v>
      </c>
      <c r="D849" s="39" t="s">
        <v>490</v>
      </c>
      <c r="E849" s="135">
        <f>Table6[[#This Row],[Date]]-DAY(Table6[[#This Row],[Date]])+1</f>
        <v>45809</v>
      </c>
      <c r="F849" s="383">
        <v>45831</v>
      </c>
      <c r="G849" s="384" t="s">
        <v>144</v>
      </c>
      <c r="H849" s="39" t="str">
        <f>_xlfn.XLOOKUP(Table6[[#This Row],[Affected WTG]],'Basic Data'!$A:$A,'Basic Data'!$B:$B)</f>
        <v>PWEGPL</v>
      </c>
      <c r="I849" s="39" t="str">
        <f>_xlfn.XLOOKUP(Table6[[#This Row],[Affected WTG]],'Basic Data'!$A:$A,'Basic Data'!$C:$C)</f>
        <v>MSEDCL</v>
      </c>
      <c r="J849" s="363">
        <f>IFERROR(VLOOKUP(Table6[[#This Row],[Affected WTG]],'Basic Data'!$A$3:$E$56,5,0),"")</f>
        <v>2.564102564102564E-2</v>
      </c>
      <c r="K849" s="121" t="s">
        <v>466</v>
      </c>
      <c r="L849" s="39" t="str">
        <f>IFERROR(VLOOKUP(Table6[[#This Row],[Error Code]],'Basic Data'!$T:$U,2,0),"")</f>
        <v>Manual Stop</v>
      </c>
      <c r="M849" s="364" t="s">
        <v>481</v>
      </c>
      <c r="N849" s="121"/>
      <c r="O849" s="346">
        <v>0</v>
      </c>
      <c r="P849" s="346">
        <v>0.99998842592592596</v>
      </c>
      <c r="Q849" s="346">
        <v>0.99998842592592596</v>
      </c>
      <c r="R849" s="366">
        <f>IF(Table6[[#This Row],[Work Start TimeStamp]]="","",(Table6[[#This Row],[Work Start TimeStamp]]-Table6[[#This Row],[Fault Start TimeStamp]])*24)</f>
        <v>23.999722222222225</v>
      </c>
      <c r="S849" s="377">
        <f>(Table6[[#This Row],[Fault Clearance time]]-Table6[[#This Row],[Work Start TimeStamp]])*24</f>
        <v>0</v>
      </c>
      <c r="T849" s="380">
        <f>(Table6[[#This Row],[Fault Clearance time]]-Table6[[#This Row],[Fault Start TimeStamp]])*24</f>
        <v>23.999722222222225</v>
      </c>
      <c r="U849" s="364" t="s">
        <v>498</v>
      </c>
      <c r="V849" s="364" t="s">
        <v>473</v>
      </c>
      <c r="W849" s="356">
        <f>Table6[[#This Row],[Breakdown Time]]*(1/39)</f>
        <v>0.61537749287749288</v>
      </c>
      <c r="X849" s="353" t="s">
        <v>468</v>
      </c>
      <c r="Y849" s="364" t="s">
        <v>143</v>
      </c>
      <c r="Z849" s="121">
        <v>29732</v>
      </c>
      <c r="AA849" s="123">
        <f>IFERROR((Table6[[#This Row],[Paired WTG Generation for loss calculation]]/24)*Table6[[#This Row],[Breakdown Time]],"")</f>
        <v>29731.65587962963</v>
      </c>
      <c r="AB849" s="121" t="s">
        <v>478</v>
      </c>
      <c r="AC849" s="121"/>
      <c r="AD849" s="121"/>
    </row>
    <row r="850" spans="1:30">
      <c r="A850" s="121">
        <f t="shared" si="13"/>
        <v>849</v>
      </c>
      <c r="B850" s="381">
        <f>YEAR(Table6[[#This Row],[Date]])+IF(MONTH(Table6[[#This Row],[Date]])&gt;=4,1,0)</f>
        <v>2026</v>
      </c>
      <c r="C850" s="382">
        <f>YEAR(Table6[[#This Row],[Date]])</f>
        <v>2025</v>
      </c>
      <c r="D850" s="39" t="s">
        <v>490</v>
      </c>
      <c r="E850" s="135">
        <f>Table6[[#This Row],[Date]]-DAY(Table6[[#This Row],[Date]])+1</f>
        <v>45809</v>
      </c>
      <c r="F850" s="383">
        <v>45831</v>
      </c>
      <c r="G850" s="384" t="s">
        <v>142</v>
      </c>
      <c r="H850" s="39" t="str">
        <f>_xlfn.XLOOKUP(Table6[[#This Row],[Affected WTG]],'Basic Data'!$A:$A,'Basic Data'!$B:$B)</f>
        <v>PWEGPL</v>
      </c>
      <c r="I850" s="39" t="str">
        <f>_xlfn.XLOOKUP(Table6[[#This Row],[Affected WTG]],'Basic Data'!$A:$A,'Basic Data'!$C:$C)</f>
        <v>MSEDCL</v>
      </c>
      <c r="J850" s="363">
        <f>IFERROR(VLOOKUP(Table6[[#This Row],[Affected WTG]],'Basic Data'!$A$3:$E$56,5,0),"")</f>
        <v>2.564102564102564E-2</v>
      </c>
      <c r="K850" s="121" t="s">
        <v>492</v>
      </c>
      <c r="L850" s="39" t="str">
        <f>IFERROR(VLOOKUP(Table6[[#This Row],[Error Code]],'Basic Data'!$T:$U,2,0),"")</f>
        <v>Manual Stop - Safety Related</v>
      </c>
      <c r="M850" s="364" t="s">
        <v>481</v>
      </c>
      <c r="N850" s="121"/>
      <c r="O850" s="346">
        <v>0</v>
      </c>
      <c r="P850" s="346">
        <v>0.99998842592592596</v>
      </c>
      <c r="Q850" s="346">
        <v>0.99998842592592596</v>
      </c>
      <c r="R850" s="366">
        <f>IF(Table6[[#This Row],[Work Start TimeStamp]]="","",(Table6[[#This Row],[Work Start TimeStamp]]-Table6[[#This Row],[Fault Start TimeStamp]])*24)</f>
        <v>23.999722222222225</v>
      </c>
      <c r="S850" s="377">
        <f>(Table6[[#This Row],[Fault Clearance time]]-Table6[[#This Row],[Work Start TimeStamp]])*24</f>
        <v>0</v>
      </c>
      <c r="T850" s="380">
        <f>(Table6[[#This Row],[Fault Clearance time]]-Table6[[#This Row],[Fault Start TimeStamp]])*24</f>
        <v>23.999722222222225</v>
      </c>
      <c r="U850" s="364" t="s">
        <v>498</v>
      </c>
      <c r="V850" s="364" t="s">
        <v>473</v>
      </c>
      <c r="W850" s="356">
        <f>Table6[[#This Row],[Breakdown Time]]*(1/39)</f>
        <v>0.61537749287749288</v>
      </c>
      <c r="X850" s="353" t="s">
        <v>468</v>
      </c>
      <c r="Y850" s="364" t="s">
        <v>143</v>
      </c>
      <c r="Z850" s="121">
        <v>29732</v>
      </c>
      <c r="AA850" s="123">
        <f>IFERROR((Table6[[#This Row],[Paired WTG Generation for loss calculation]]/24)*Table6[[#This Row],[Breakdown Time]],"")</f>
        <v>29731.65587962963</v>
      </c>
      <c r="AB850" s="121" t="s">
        <v>478</v>
      </c>
      <c r="AC850" s="121"/>
      <c r="AD850" s="121"/>
    </row>
    <row r="851" spans="1:30">
      <c r="A851" s="121">
        <f t="shared" si="13"/>
        <v>850</v>
      </c>
      <c r="B851" s="381">
        <f>YEAR(Table6[[#This Row],[Date]])+IF(MONTH(Table6[[#This Row],[Date]])&gt;=4,1,0)</f>
        <v>2026</v>
      </c>
      <c r="C851" s="382">
        <f>YEAR(Table6[[#This Row],[Date]])</f>
        <v>2025</v>
      </c>
      <c r="D851" s="39" t="s">
        <v>490</v>
      </c>
      <c r="E851" s="135">
        <f>Table6[[#This Row],[Date]]-DAY(Table6[[#This Row],[Date]])+1</f>
        <v>45809</v>
      </c>
      <c r="F851" s="383">
        <v>45831</v>
      </c>
      <c r="G851" s="384" t="s">
        <v>131</v>
      </c>
      <c r="H851" s="39" t="str">
        <f>_xlfn.XLOOKUP(Table6[[#This Row],[Affected WTG]],'Basic Data'!$A:$A,'Basic Data'!$B:$B)</f>
        <v>PWEGPL</v>
      </c>
      <c r="I851" s="39" t="str">
        <f>_xlfn.XLOOKUP(Table6[[#This Row],[Affected WTG]],'Basic Data'!$A:$A,'Basic Data'!$C:$C)</f>
        <v>MSEDCL</v>
      </c>
      <c r="J851" s="363">
        <f>IFERROR(VLOOKUP(Table6[[#This Row],[Affected WTG]],'Basic Data'!$A$3:$E$56,5,0),"")</f>
        <v>2.564102564102564E-2</v>
      </c>
      <c r="K851" s="121" t="s">
        <v>492</v>
      </c>
      <c r="L851" s="39" t="str">
        <f>IFERROR(VLOOKUP(Table6[[#This Row],[Error Code]],'Basic Data'!$T:$U,2,0),"")</f>
        <v>Manual Stop - Safety Related</v>
      </c>
      <c r="M851" s="364" t="s">
        <v>462</v>
      </c>
      <c r="N851" s="121"/>
      <c r="O851" s="346">
        <v>0</v>
      </c>
      <c r="P851" s="346">
        <v>0.99998842592592596</v>
      </c>
      <c r="Q851" s="346">
        <v>0.99998842592592596</v>
      </c>
      <c r="R851" s="366">
        <f>IF(Table6[[#This Row],[Work Start TimeStamp]]="","",(Table6[[#This Row],[Work Start TimeStamp]]-Table6[[#This Row],[Fault Start TimeStamp]])*24)</f>
        <v>23.999722222222225</v>
      </c>
      <c r="S851" s="377">
        <f>(Table6[[#This Row],[Fault Clearance time]]-Table6[[#This Row],[Work Start TimeStamp]])*24</f>
        <v>0</v>
      </c>
      <c r="T851" s="380">
        <f>(Table6[[#This Row],[Fault Clearance time]]-Table6[[#This Row],[Fault Start TimeStamp]])*24</f>
        <v>23.999722222222225</v>
      </c>
      <c r="U851" s="364" t="s">
        <v>1247</v>
      </c>
      <c r="V851" s="364" t="s">
        <v>473</v>
      </c>
      <c r="W851" s="356">
        <f>Table6[[#This Row],[Breakdown Time]]*(1/39)</f>
        <v>0.61537749287749288</v>
      </c>
      <c r="X851" s="353" t="s">
        <v>465</v>
      </c>
      <c r="Y851" s="364" t="s">
        <v>130</v>
      </c>
      <c r="Z851" s="121">
        <v>30372</v>
      </c>
      <c r="AA851" s="123">
        <f>IFERROR((Table6[[#This Row],[Paired WTG Generation for loss calculation]]/24)*Table6[[#This Row],[Breakdown Time]],"")</f>
        <v>30371.648472222227</v>
      </c>
      <c r="AB851" s="121" t="s">
        <v>478</v>
      </c>
      <c r="AC851" s="121"/>
      <c r="AD851" s="121"/>
    </row>
    <row r="852" spans="1:30">
      <c r="A852" s="121">
        <f t="shared" si="13"/>
        <v>851</v>
      </c>
      <c r="B852" s="381">
        <f>YEAR(Table6[[#This Row],[Date]])+IF(MONTH(Table6[[#This Row],[Date]])&gt;=4,1,0)</f>
        <v>2026</v>
      </c>
      <c r="C852" s="382">
        <f>YEAR(Table6[[#This Row],[Date]])</f>
        <v>2025</v>
      </c>
      <c r="D852" s="39" t="s">
        <v>490</v>
      </c>
      <c r="E852" s="135">
        <f>Table6[[#This Row],[Date]]-DAY(Table6[[#This Row],[Date]])+1</f>
        <v>45809</v>
      </c>
      <c r="F852" s="383">
        <v>45831</v>
      </c>
      <c r="G852" s="384" t="s">
        <v>134</v>
      </c>
      <c r="H852" s="39" t="str">
        <f>_xlfn.XLOOKUP(Table6[[#This Row],[Affected WTG]],'Basic Data'!$A:$A,'Basic Data'!$B:$B)</f>
        <v>PWEGPL</v>
      </c>
      <c r="I852" s="39" t="str">
        <f>_xlfn.XLOOKUP(Table6[[#This Row],[Affected WTG]],'Basic Data'!$A:$A,'Basic Data'!$C:$C)</f>
        <v>MSEDCL</v>
      </c>
      <c r="J852" s="363">
        <f>IFERROR(VLOOKUP(Table6[[#This Row],[Affected WTG]],'Basic Data'!$A$3:$E$56,5,0),"")</f>
        <v>2.564102564102564E-2</v>
      </c>
      <c r="K852" s="121">
        <v>102</v>
      </c>
      <c r="L852" s="39" t="str">
        <f>IFERROR(VLOOKUP(Table6[[#This Row],[Error Code]],'Basic Data'!$T:$U,2,0),"")</f>
        <v>CW Feedback Failure</v>
      </c>
      <c r="M852" s="364" t="s">
        <v>481</v>
      </c>
      <c r="N852" s="121"/>
      <c r="O852" s="346">
        <v>0.50555555555555554</v>
      </c>
      <c r="P852" s="346">
        <v>0.59722222222222221</v>
      </c>
      <c r="Q852" s="346">
        <v>0.59722222222222221</v>
      </c>
      <c r="R852" s="366">
        <f>IF(Table6[[#This Row],[Work Start TimeStamp]]="","",(Table6[[#This Row],[Work Start TimeStamp]]-Table6[[#This Row],[Fault Start TimeStamp]])*24)</f>
        <v>2.2000000000000002</v>
      </c>
      <c r="S852" s="377">
        <f>(Table6[[#This Row],[Fault Clearance time]]-Table6[[#This Row],[Work Start TimeStamp]])*24</f>
        <v>0</v>
      </c>
      <c r="T852" s="380">
        <f>(Table6[[#This Row],[Fault Clearance time]]-Table6[[#This Row],[Fault Start TimeStamp]])*24</f>
        <v>2.2000000000000002</v>
      </c>
      <c r="U852" s="364" t="s">
        <v>1288</v>
      </c>
      <c r="V852" s="364" t="s">
        <v>463</v>
      </c>
      <c r="W852" s="356">
        <f>Table6[[#This Row],[Breakdown Time]]*(1/39)</f>
        <v>5.6410256410256411E-2</v>
      </c>
      <c r="X852" s="353" t="s">
        <v>1212</v>
      </c>
      <c r="Y852" s="364" t="s">
        <v>133</v>
      </c>
      <c r="Z852" s="121">
        <v>29932</v>
      </c>
      <c r="AA852" s="123">
        <f>IFERROR((Table6[[#This Row],[Paired WTG Generation for loss calculation]]/24)*Table6[[#This Row],[Breakdown Time]],"")</f>
        <v>2743.7666666666669</v>
      </c>
      <c r="AB852" s="121" t="s">
        <v>478</v>
      </c>
      <c r="AC852" s="121"/>
      <c r="AD852" s="121"/>
    </row>
    <row r="853" spans="1:30">
      <c r="A853" s="121">
        <f t="shared" si="13"/>
        <v>852</v>
      </c>
      <c r="B853" s="381">
        <f>YEAR(Table6[[#This Row],[Date]])+IF(MONTH(Table6[[#This Row],[Date]])&gt;=4,1,0)</f>
        <v>2026</v>
      </c>
      <c r="C853" s="382">
        <f>YEAR(Table6[[#This Row],[Date]])</f>
        <v>2025</v>
      </c>
      <c r="D853" s="39" t="s">
        <v>490</v>
      </c>
      <c r="E853" s="135">
        <f>Table6[[#This Row],[Date]]-DAY(Table6[[#This Row],[Date]])+1</f>
        <v>45809</v>
      </c>
      <c r="F853" s="383">
        <v>45831</v>
      </c>
      <c r="G853" s="384" t="s">
        <v>128</v>
      </c>
      <c r="H853" s="39" t="str">
        <f>_xlfn.XLOOKUP(Table6[[#This Row],[Affected WTG]],'Basic Data'!$A:$A,'Basic Data'!$B:$B)</f>
        <v>PWEGPL</v>
      </c>
      <c r="I853" s="39" t="str">
        <f>_xlfn.XLOOKUP(Table6[[#This Row],[Affected WTG]],'Basic Data'!$A:$A,'Basic Data'!$C:$C)</f>
        <v>MSEDCL</v>
      </c>
      <c r="J853" s="363">
        <f>IFERROR(VLOOKUP(Table6[[#This Row],[Affected WTG]],'Basic Data'!$A$3:$E$56,5,0),"")</f>
        <v>2.564102564102564E-2</v>
      </c>
      <c r="K853" s="121">
        <v>2118</v>
      </c>
      <c r="L853" s="39" t="str">
        <f>IFERROR(VLOOKUP(Table6[[#This Row],[Error Code]],'Basic Data'!$T:$U,2,0),"")</f>
        <v>Bus Error - Interbus Failure</v>
      </c>
      <c r="M853" s="364" t="s">
        <v>462</v>
      </c>
      <c r="N853" s="121"/>
      <c r="O853" s="346">
        <v>0.60416666666666663</v>
      </c>
      <c r="P853" s="346">
        <v>0.60902777777777772</v>
      </c>
      <c r="Q853" s="346">
        <v>0.61111111111111116</v>
      </c>
      <c r="R853" s="366">
        <f>IF(Table6[[#This Row],[Work Start TimeStamp]]="","",(Table6[[#This Row],[Work Start TimeStamp]]-Table6[[#This Row],[Fault Start TimeStamp]])*24)</f>
        <v>0.11666666666666625</v>
      </c>
      <c r="S853" s="377">
        <f>(Table6[[#This Row],[Fault Clearance time]]-Table6[[#This Row],[Work Start TimeStamp]])*24</f>
        <v>5.0000000000002487E-2</v>
      </c>
      <c r="T853" s="380">
        <f>(Table6[[#This Row],[Fault Clearance time]]-Table6[[#This Row],[Fault Start TimeStamp]])*24</f>
        <v>0.16666666666666874</v>
      </c>
      <c r="U853" s="364" t="s">
        <v>493</v>
      </c>
      <c r="V853" s="364" t="s">
        <v>463</v>
      </c>
      <c r="W853" s="356">
        <f>Table6[[#This Row],[Breakdown Time]]*(1/39)</f>
        <v>4.2735042735043268E-3</v>
      </c>
      <c r="X853" s="353" t="s">
        <v>465</v>
      </c>
      <c r="Y853" s="364" t="s">
        <v>127</v>
      </c>
      <c r="Z853" s="121">
        <v>28151</v>
      </c>
      <c r="AA853" s="123">
        <f>IFERROR((Table6[[#This Row],[Paired WTG Generation for loss calculation]]/24)*Table6[[#This Row],[Breakdown Time]],"")</f>
        <v>195.49305555555799</v>
      </c>
      <c r="AB853" s="121" t="s">
        <v>478</v>
      </c>
      <c r="AC853" s="121"/>
      <c r="AD853" s="121"/>
    </row>
    <row r="854" spans="1:30">
      <c r="A854" s="121">
        <f t="shared" si="13"/>
        <v>853</v>
      </c>
      <c r="B854" s="381">
        <f>YEAR(Table6[[#This Row],[Date]])+IF(MONTH(Table6[[#This Row],[Date]])&gt;=4,1,0)</f>
        <v>2026</v>
      </c>
      <c r="C854" s="382">
        <f>YEAR(Table6[[#This Row],[Date]])</f>
        <v>2025</v>
      </c>
      <c r="D854" s="39" t="s">
        <v>490</v>
      </c>
      <c r="E854" s="135">
        <f>Table6[[#This Row],[Date]]-DAY(Table6[[#This Row],[Date]])+1</f>
        <v>45809</v>
      </c>
      <c r="F854" s="383">
        <v>45831</v>
      </c>
      <c r="G854" s="384" t="s">
        <v>126</v>
      </c>
      <c r="H854" s="39" t="str">
        <f>_xlfn.XLOOKUP(Table6[[#This Row],[Affected WTG]],'Basic Data'!$A:$A,'Basic Data'!$B:$B)</f>
        <v>PWEGPL</v>
      </c>
      <c r="I854" s="39" t="str">
        <f>_xlfn.XLOOKUP(Table6[[#This Row],[Affected WTG]],'Basic Data'!$A:$A,'Basic Data'!$C:$C)</f>
        <v>MSEDCL</v>
      </c>
      <c r="J854" s="363">
        <f>IFERROR(VLOOKUP(Table6[[#This Row],[Affected WTG]],'Basic Data'!$A$3:$E$56,5,0),"")</f>
        <v>2.564102564102564E-2</v>
      </c>
      <c r="K854" s="121">
        <v>203</v>
      </c>
      <c r="L854" s="39" t="str">
        <f>IFERROR(VLOOKUP(Table6[[#This Row],[Error Code]],'Basic Data'!$T:$U,2,0),"")</f>
        <v>Low Pressure On Hydraulic Group</v>
      </c>
      <c r="M854" s="364" t="s">
        <v>481</v>
      </c>
      <c r="N854" s="121"/>
      <c r="O854" s="346">
        <v>0.50555555555555554</v>
      </c>
      <c r="P854" s="346">
        <v>0.59722222222222221</v>
      </c>
      <c r="Q854" s="346">
        <v>0.59722222222222221</v>
      </c>
      <c r="R854" s="366">
        <f>IF(Table6[[#This Row],[Work Start TimeStamp]]="","",(Table6[[#This Row],[Work Start TimeStamp]]-Table6[[#This Row],[Fault Start TimeStamp]])*24)</f>
        <v>2.2000000000000002</v>
      </c>
      <c r="S854" s="377">
        <f>(Table6[[#This Row],[Fault Clearance time]]-Table6[[#This Row],[Work Start TimeStamp]])*24</f>
        <v>0</v>
      </c>
      <c r="T854" s="380">
        <f>(Table6[[#This Row],[Fault Clearance time]]-Table6[[#This Row],[Fault Start TimeStamp]])*24</f>
        <v>2.2000000000000002</v>
      </c>
      <c r="U854" s="364" t="s">
        <v>1288</v>
      </c>
      <c r="V854" s="364" t="s">
        <v>463</v>
      </c>
      <c r="W854" s="356">
        <f>Table6[[#This Row],[Breakdown Time]]*(1/39)</f>
        <v>5.6410256410256411E-2</v>
      </c>
      <c r="X854" s="353" t="s">
        <v>1212</v>
      </c>
      <c r="Y854" s="364" t="s">
        <v>127</v>
      </c>
      <c r="Z854" s="121">
        <v>28151</v>
      </c>
      <c r="AA854" s="123">
        <f>IFERROR((Table6[[#This Row],[Paired WTG Generation for loss calculation]]/24)*Table6[[#This Row],[Breakdown Time]],"")</f>
        <v>2580.5083333333332</v>
      </c>
      <c r="AB854" s="121" t="s">
        <v>478</v>
      </c>
      <c r="AC854" s="121"/>
      <c r="AD854" s="121"/>
    </row>
    <row r="855" spans="1:30">
      <c r="A855" s="121">
        <f t="shared" si="13"/>
        <v>854</v>
      </c>
      <c r="B855" s="381">
        <f>YEAR(Table6[[#This Row],[Date]])+IF(MONTH(Table6[[#This Row],[Date]])&gt;=4,1,0)</f>
        <v>2026</v>
      </c>
      <c r="C855" s="382">
        <f>YEAR(Table6[[#This Row],[Date]])</f>
        <v>2025</v>
      </c>
      <c r="D855" s="39" t="s">
        <v>490</v>
      </c>
      <c r="E855" s="135">
        <f>Table6[[#This Row],[Date]]-DAY(Table6[[#This Row],[Date]])+1</f>
        <v>45809</v>
      </c>
      <c r="F855" s="383">
        <v>45831</v>
      </c>
      <c r="G855" s="384" t="s">
        <v>134</v>
      </c>
      <c r="H855" s="39" t="str">
        <f>_xlfn.XLOOKUP(Table6[[#This Row],[Affected WTG]],'Basic Data'!$A:$A,'Basic Data'!$B:$B)</f>
        <v>PWEGPL</v>
      </c>
      <c r="I855" s="39" t="str">
        <f>_xlfn.XLOOKUP(Table6[[#This Row],[Affected WTG]],'Basic Data'!$A:$A,'Basic Data'!$C:$C)</f>
        <v>MSEDCL</v>
      </c>
      <c r="J855" s="363">
        <f>IFERROR(VLOOKUP(Table6[[#This Row],[Affected WTG]],'Basic Data'!$A$3:$E$56,5,0),"")</f>
        <v>2.564102564102564E-2</v>
      </c>
      <c r="K855" s="121">
        <v>102</v>
      </c>
      <c r="L855" s="39" t="str">
        <f>IFERROR(VLOOKUP(Table6[[#This Row],[Error Code]],'Basic Data'!$T:$U,2,0),"")</f>
        <v>CW Feedback Failure</v>
      </c>
      <c r="M855" s="364" t="s">
        <v>462</v>
      </c>
      <c r="N855" s="121"/>
      <c r="O855" s="346">
        <v>0.74305555555555558</v>
      </c>
      <c r="P855" s="346">
        <v>0.75208333333333333</v>
      </c>
      <c r="Q855" s="346">
        <v>0.79236111111111107</v>
      </c>
      <c r="R855" s="366">
        <f>IF(Table6[[#This Row],[Work Start TimeStamp]]="","",(Table6[[#This Row],[Work Start TimeStamp]]-Table6[[#This Row],[Fault Start TimeStamp]])*24)</f>
        <v>0.2166666666666659</v>
      </c>
      <c r="S855" s="377">
        <f>(Table6[[#This Row],[Fault Clearance time]]-Table6[[#This Row],[Work Start TimeStamp]])*24</f>
        <v>0.9666666666666659</v>
      </c>
      <c r="T855" s="380">
        <f>(Table6[[#This Row],[Fault Clearance time]]-Table6[[#This Row],[Fault Start TimeStamp]])*24</f>
        <v>1.1833333333333318</v>
      </c>
      <c r="U855" s="364" t="s">
        <v>1289</v>
      </c>
      <c r="V855" s="364" t="s">
        <v>463</v>
      </c>
      <c r="W855" s="356">
        <f>Table6[[#This Row],[Breakdown Time]]*(1/39)</f>
        <v>3.03418803418803E-2</v>
      </c>
      <c r="X855" s="353" t="s">
        <v>465</v>
      </c>
      <c r="Y855" s="364" t="s">
        <v>133</v>
      </c>
      <c r="Z855" s="121">
        <v>29932</v>
      </c>
      <c r="AA855" s="123">
        <f>IFERROR((Table6[[#This Row],[Paired WTG Generation for loss calculation]]/24)*Table6[[#This Row],[Breakdown Time]],"")</f>
        <v>1475.813888888887</v>
      </c>
      <c r="AB855" s="121" t="s">
        <v>478</v>
      </c>
      <c r="AC855" s="121"/>
      <c r="AD855" s="121"/>
    </row>
    <row r="856" spans="1:30">
      <c r="A856" s="121">
        <f t="shared" si="13"/>
        <v>855</v>
      </c>
      <c r="B856" s="381">
        <f>YEAR(Table6[[#This Row],[Date]])+IF(MONTH(Table6[[#This Row],[Date]])&gt;=4,1,0)</f>
        <v>2026</v>
      </c>
      <c r="C856" s="382">
        <f>YEAR(Table6[[#This Row],[Date]])</f>
        <v>2025</v>
      </c>
      <c r="D856" s="39" t="s">
        <v>490</v>
      </c>
      <c r="E856" s="135">
        <f>Table6[[#This Row],[Date]]-DAY(Table6[[#This Row],[Date]])+1</f>
        <v>45809</v>
      </c>
      <c r="F856" s="383">
        <v>45831</v>
      </c>
      <c r="G856" s="384" t="s">
        <v>119</v>
      </c>
      <c r="H856" s="39" t="str">
        <f>_xlfn.XLOOKUP(Table6[[#This Row],[Affected WTG]],'Basic Data'!$A:$A,'Basic Data'!$B:$B)</f>
        <v>PWEGPL</v>
      </c>
      <c r="I856" s="39" t="str">
        <f>_xlfn.XLOOKUP(Table6[[#This Row],[Affected WTG]],'Basic Data'!$A:$A,'Basic Data'!$C:$C)</f>
        <v>MSEDCL</v>
      </c>
      <c r="J856" s="363">
        <f>IFERROR(VLOOKUP(Table6[[#This Row],[Affected WTG]],'Basic Data'!$A$3:$E$56,5,0),"")</f>
        <v>2.564102564102564E-2</v>
      </c>
      <c r="K856" s="121">
        <v>2118</v>
      </c>
      <c r="L856" s="39" t="str">
        <f>IFERROR(VLOOKUP(Table6[[#This Row],[Error Code]],'Basic Data'!$T:$U,2,0),"")</f>
        <v>Bus Error - Interbus Failure</v>
      </c>
      <c r="M856" s="364" t="s">
        <v>462</v>
      </c>
      <c r="N856" s="121"/>
      <c r="O856" s="346">
        <v>0.74861111111111112</v>
      </c>
      <c r="P856" s="346">
        <v>0.76736111111111116</v>
      </c>
      <c r="Q856" s="346">
        <v>0.77083333333333337</v>
      </c>
      <c r="R856" s="366">
        <f>IF(Table6[[#This Row],[Work Start TimeStamp]]="","",(Table6[[#This Row],[Work Start TimeStamp]]-Table6[[#This Row],[Fault Start TimeStamp]])*24)</f>
        <v>0.45000000000000107</v>
      </c>
      <c r="S856" s="377">
        <f>(Table6[[#This Row],[Fault Clearance time]]-Table6[[#This Row],[Work Start TimeStamp]])*24</f>
        <v>8.3333333333333037E-2</v>
      </c>
      <c r="T856" s="380">
        <f>(Table6[[#This Row],[Fault Clearance time]]-Table6[[#This Row],[Fault Start TimeStamp]])*24</f>
        <v>0.5333333333333341</v>
      </c>
      <c r="U856" s="364" t="s">
        <v>493</v>
      </c>
      <c r="V856" s="364" t="s">
        <v>463</v>
      </c>
      <c r="W856" s="356">
        <f>Table6[[#This Row],[Breakdown Time]]*(1/39)</f>
        <v>1.3675213675213694E-2</v>
      </c>
      <c r="X856" s="353" t="s">
        <v>465</v>
      </c>
      <c r="Y856" s="364" t="s">
        <v>136</v>
      </c>
      <c r="Z856" s="121">
        <v>30231</v>
      </c>
      <c r="AA856" s="123">
        <f>IFERROR((Table6[[#This Row],[Paired WTG Generation for loss calculation]]/24)*Table6[[#This Row],[Breakdown Time]],"")</f>
        <v>671.80000000000098</v>
      </c>
      <c r="AB856" s="121" t="s">
        <v>478</v>
      </c>
      <c r="AC856" s="121"/>
      <c r="AD856" s="121"/>
    </row>
    <row r="857" spans="1:30">
      <c r="A857" s="121">
        <f t="shared" si="13"/>
        <v>856</v>
      </c>
      <c r="B857" s="381">
        <f>YEAR(Table6[[#This Row],[Date]])+IF(MONTH(Table6[[#This Row],[Date]])&gt;=4,1,0)</f>
        <v>2026</v>
      </c>
      <c r="C857" s="382">
        <f>YEAR(Table6[[#This Row],[Date]])</f>
        <v>2025</v>
      </c>
      <c r="D857" s="39" t="s">
        <v>490</v>
      </c>
      <c r="E857" s="135">
        <f>Table6[[#This Row],[Date]]-DAY(Table6[[#This Row],[Date]])+1</f>
        <v>45809</v>
      </c>
      <c r="F857" s="383">
        <v>45831</v>
      </c>
      <c r="G857" s="384" t="s">
        <v>134</v>
      </c>
      <c r="H857" s="39" t="str">
        <f>_xlfn.XLOOKUP(Table6[[#This Row],[Affected WTG]],'Basic Data'!$A:$A,'Basic Data'!$B:$B)</f>
        <v>PWEGPL</v>
      </c>
      <c r="I857" s="39" t="str">
        <f>_xlfn.XLOOKUP(Table6[[#This Row],[Affected WTG]],'Basic Data'!$A:$A,'Basic Data'!$C:$C)</f>
        <v>MSEDCL</v>
      </c>
      <c r="J857" s="363">
        <f>IFERROR(VLOOKUP(Table6[[#This Row],[Affected WTG]],'Basic Data'!$A$3:$E$56,5,0),"")</f>
        <v>2.564102564102564E-2</v>
      </c>
      <c r="K857" s="121">
        <v>102</v>
      </c>
      <c r="L857" s="39" t="str">
        <f>IFERROR(VLOOKUP(Table6[[#This Row],[Error Code]],'Basic Data'!$T:$U,2,0),"")</f>
        <v>CW Feedback Failure</v>
      </c>
      <c r="M857" s="364" t="s">
        <v>462</v>
      </c>
      <c r="N857" s="121"/>
      <c r="O857" s="346">
        <v>0.59722222222222221</v>
      </c>
      <c r="P857" s="346">
        <v>0.61458333333333337</v>
      </c>
      <c r="Q857" s="346">
        <v>0.61805555555555558</v>
      </c>
      <c r="R857" s="366">
        <f>IF(Table6[[#This Row],[Work Start TimeStamp]]="","",(Table6[[#This Row],[Work Start TimeStamp]]-Table6[[#This Row],[Fault Start TimeStamp]])*24)</f>
        <v>0.41666666666666785</v>
      </c>
      <c r="S857" s="377">
        <f>(Table6[[#This Row],[Fault Clearance time]]-Table6[[#This Row],[Work Start TimeStamp]])*24</f>
        <v>8.3333333333333037E-2</v>
      </c>
      <c r="T857" s="380">
        <f>(Table6[[#This Row],[Fault Clearance time]]-Table6[[#This Row],[Fault Start TimeStamp]])*24</f>
        <v>0.50000000000000089</v>
      </c>
      <c r="U857" s="364" t="s">
        <v>493</v>
      </c>
      <c r="V857" s="364" t="s">
        <v>463</v>
      </c>
      <c r="W857" s="356">
        <f>Table6[[#This Row],[Breakdown Time]]*(1/39)</f>
        <v>1.2820512820512843E-2</v>
      </c>
      <c r="X857" s="353" t="s">
        <v>465</v>
      </c>
      <c r="Y857" s="364" t="s">
        <v>133</v>
      </c>
      <c r="Z857" s="121">
        <v>29932</v>
      </c>
      <c r="AA857" s="123">
        <f>IFERROR((Table6[[#This Row],[Paired WTG Generation for loss calculation]]/24)*Table6[[#This Row],[Breakdown Time]],"")</f>
        <v>623.58333333333451</v>
      </c>
      <c r="AB857" s="121" t="s">
        <v>478</v>
      </c>
      <c r="AC857" s="121"/>
      <c r="AD857" s="121"/>
    </row>
    <row r="858" spans="1:30">
      <c r="A858" s="121">
        <f t="shared" si="13"/>
        <v>857</v>
      </c>
      <c r="B858" s="381">
        <f>YEAR(Table6[[#This Row],[Date]])+IF(MONTH(Table6[[#This Row],[Date]])&gt;=4,1,0)</f>
        <v>2026</v>
      </c>
      <c r="C858" s="382">
        <f>YEAR(Table6[[#This Row],[Date]])</f>
        <v>2025</v>
      </c>
      <c r="D858" s="39" t="s">
        <v>490</v>
      </c>
      <c r="E858" s="135">
        <f>Table6[[#This Row],[Date]]-DAY(Table6[[#This Row],[Date]])+1</f>
        <v>45809</v>
      </c>
      <c r="F858" s="383">
        <v>45831</v>
      </c>
      <c r="G858" s="384" t="s">
        <v>126</v>
      </c>
      <c r="H858" s="39" t="str">
        <f>_xlfn.XLOOKUP(Table6[[#This Row],[Affected WTG]],'Basic Data'!$A:$A,'Basic Data'!$B:$B)</f>
        <v>PWEGPL</v>
      </c>
      <c r="I858" s="39" t="str">
        <f>_xlfn.XLOOKUP(Table6[[#This Row],[Affected WTG]],'Basic Data'!$A:$A,'Basic Data'!$C:$C)</f>
        <v>MSEDCL</v>
      </c>
      <c r="J858" s="363">
        <f>IFERROR(VLOOKUP(Table6[[#This Row],[Affected WTG]],'Basic Data'!$A$3:$E$56,5,0),"")</f>
        <v>2.564102564102564E-2</v>
      </c>
      <c r="K858" s="121">
        <v>203</v>
      </c>
      <c r="L858" s="39" t="str">
        <f>IFERROR(VLOOKUP(Table6[[#This Row],[Error Code]],'Basic Data'!$T:$U,2,0),"")</f>
        <v>Low Pressure On Hydraulic Group</v>
      </c>
      <c r="M858" s="364" t="s">
        <v>462</v>
      </c>
      <c r="N858" s="121"/>
      <c r="O858" s="346">
        <v>0.59722222222222221</v>
      </c>
      <c r="P858" s="346">
        <v>0.61319444444444449</v>
      </c>
      <c r="Q858" s="346">
        <v>0.61458333333333337</v>
      </c>
      <c r="R858" s="366">
        <f>IF(Table6[[#This Row],[Work Start TimeStamp]]="","",(Table6[[#This Row],[Work Start TimeStamp]]-Table6[[#This Row],[Fault Start TimeStamp]])*24)</f>
        <v>0.38333333333333464</v>
      </c>
      <c r="S858" s="377">
        <f>(Table6[[#This Row],[Fault Clearance time]]-Table6[[#This Row],[Work Start TimeStamp]])*24</f>
        <v>3.3333333333333215E-2</v>
      </c>
      <c r="T858" s="380">
        <f>(Table6[[#This Row],[Fault Clearance time]]-Table6[[#This Row],[Fault Start TimeStamp]])*24</f>
        <v>0.41666666666666785</v>
      </c>
      <c r="U858" s="364" t="s">
        <v>493</v>
      </c>
      <c r="V858" s="364" t="s">
        <v>463</v>
      </c>
      <c r="W858" s="356">
        <f>Table6[[#This Row],[Breakdown Time]]*(1/39)</f>
        <v>1.0683760683760713E-2</v>
      </c>
      <c r="X858" s="353" t="s">
        <v>465</v>
      </c>
      <c r="Y858" s="364" t="s">
        <v>127</v>
      </c>
      <c r="Z858" s="121">
        <v>28151</v>
      </c>
      <c r="AA858" s="123">
        <f>IFERROR((Table6[[#This Row],[Paired WTG Generation for loss calculation]]/24)*Table6[[#This Row],[Breakdown Time]],"")</f>
        <v>488.73263888889022</v>
      </c>
      <c r="AB858" s="121" t="s">
        <v>478</v>
      </c>
      <c r="AC858" s="121"/>
      <c r="AD858" s="121"/>
    </row>
    <row r="859" spans="1:30">
      <c r="A859" s="121">
        <f t="shared" si="13"/>
        <v>858</v>
      </c>
      <c r="B859" s="381">
        <f>YEAR(Table6[[#This Row],[Date]])+IF(MONTH(Table6[[#This Row],[Date]])&gt;=4,1,0)</f>
        <v>2026</v>
      </c>
      <c r="C859" s="382">
        <f>YEAR(Table6[[#This Row],[Date]])</f>
        <v>2025</v>
      </c>
      <c r="D859" s="39" t="s">
        <v>490</v>
      </c>
      <c r="E859" s="135">
        <f>Table6[[#This Row],[Date]]-DAY(Table6[[#This Row],[Date]])+1</f>
        <v>45809</v>
      </c>
      <c r="F859" s="383">
        <v>45832</v>
      </c>
      <c r="G859" s="384" t="s">
        <v>144</v>
      </c>
      <c r="H859" s="39" t="str">
        <f>_xlfn.XLOOKUP(Table6[[#This Row],[Affected WTG]],'Basic Data'!$A:$A,'Basic Data'!$B:$B)</f>
        <v>PWEGPL</v>
      </c>
      <c r="I859" s="39" t="str">
        <f>_xlfn.XLOOKUP(Table6[[#This Row],[Affected WTG]],'Basic Data'!$A:$A,'Basic Data'!$C:$C)</f>
        <v>MSEDCL</v>
      </c>
      <c r="J859" s="363">
        <f>IFERROR(VLOOKUP(Table6[[#This Row],[Affected WTG]],'Basic Data'!$A$3:$E$56,5,0),"")</f>
        <v>2.564102564102564E-2</v>
      </c>
      <c r="K859" s="121" t="s">
        <v>492</v>
      </c>
      <c r="L859" s="39" t="str">
        <f>IFERROR(VLOOKUP(Table6[[#This Row],[Error Code]],'Basic Data'!$T:$U,2,0),"")</f>
        <v>Manual Stop - Safety Related</v>
      </c>
      <c r="M859" s="364" t="s">
        <v>481</v>
      </c>
      <c r="N859" s="121"/>
      <c r="O859" s="346">
        <v>0</v>
      </c>
      <c r="P859" s="346">
        <v>0.99998842592592596</v>
      </c>
      <c r="Q859" s="346">
        <v>0.99998842592592596</v>
      </c>
      <c r="R859" s="366">
        <f>IF(Table6[[#This Row],[Work Start TimeStamp]]="","",(Table6[[#This Row],[Work Start TimeStamp]]-Table6[[#This Row],[Fault Start TimeStamp]])*24)</f>
        <v>23.999722222222225</v>
      </c>
      <c r="S859" s="377">
        <f>(Table6[[#This Row],[Fault Clearance time]]-Table6[[#This Row],[Work Start TimeStamp]])*24</f>
        <v>0</v>
      </c>
      <c r="T859" s="380">
        <f>(Table6[[#This Row],[Fault Clearance time]]-Table6[[#This Row],[Fault Start TimeStamp]])*24</f>
        <v>23.999722222222225</v>
      </c>
      <c r="U859" s="364" t="s">
        <v>498</v>
      </c>
      <c r="V859" s="364" t="s">
        <v>473</v>
      </c>
      <c r="W859" s="356">
        <f>Table6[[#This Row],[Breakdown Time]]*(1/39)</f>
        <v>0.61537749287749288</v>
      </c>
      <c r="X859" s="353" t="s">
        <v>1212</v>
      </c>
      <c r="Y859" s="39" t="s">
        <v>143</v>
      </c>
      <c r="Z859" s="357">
        <v>29408</v>
      </c>
      <c r="AA859" s="123">
        <f>IFERROR((Table6[[#This Row],[Paired WTG Generation for loss calculation]]/24)*Table6[[#This Row],[Breakdown Time]],"")</f>
        <v>29407.65962962963</v>
      </c>
      <c r="AB859" s="121" t="s">
        <v>478</v>
      </c>
      <c r="AC859" s="121"/>
      <c r="AD859" s="121"/>
    </row>
    <row r="860" spans="1:30">
      <c r="A860" s="121">
        <f t="shared" si="13"/>
        <v>859</v>
      </c>
      <c r="B860" s="381">
        <f>YEAR(Table6[[#This Row],[Date]])+IF(MONTH(Table6[[#This Row],[Date]])&gt;=4,1,0)</f>
        <v>2026</v>
      </c>
      <c r="C860" s="382">
        <f>YEAR(Table6[[#This Row],[Date]])</f>
        <v>2025</v>
      </c>
      <c r="D860" s="39" t="s">
        <v>490</v>
      </c>
      <c r="E860" s="135">
        <f>Table6[[#This Row],[Date]]-DAY(Table6[[#This Row],[Date]])+1</f>
        <v>45809</v>
      </c>
      <c r="F860" s="383">
        <v>45832</v>
      </c>
      <c r="G860" s="121" t="s">
        <v>142</v>
      </c>
      <c r="H860" s="39" t="str">
        <f>_xlfn.XLOOKUP(Table6[[#This Row],[Affected WTG]],'Basic Data'!$A:$A,'Basic Data'!$B:$B)</f>
        <v>PWEGPL</v>
      </c>
      <c r="I860" s="39" t="str">
        <f>_xlfn.XLOOKUP(Table6[[#This Row],[Affected WTG]],'Basic Data'!$A:$A,'Basic Data'!$C:$C)</f>
        <v>MSEDCL</v>
      </c>
      <c r="J860" s="363">
        <f>IFERROR(VLOOKUP(Table6[[#This Row],[Affected WTG]],'Basic Data'!$A$3:$E$56,5,0),"")</f>
        <v>2.564102564102564E-2</v>
      </c>
      <c r="K860" s="121" t="s">
        <v>492</v>
      </c>
      <c r="L860" s="39" t="str">
        <f>IFERROR(VLOOKUP(Table6[[#This Row],[Error Code]],'Basic Data'!$T:$U,2,0),"")</f>
        <v>Manual Stop - Safety Related</v>
      </c>
      <c r="M860" s="364" t="s">
        <v>481</v>
      </c>
      <c r="N860" s="121"/>
      <c r="O860" s="346">
        <v>0</v>
      </c>
      <c r="P860" s="346">
        <v>0.99998842592592596</v>
      </c>
      <c r="Q860" s="346">
        <v>0.99998842592592596</v>
      </c>
      <c r="R860" s="366">
        <f>IF(Table6[[#This Row],[Work Start TimeStamp]]="","",(Table6[[#This Row],[Work Start TimeStamp]]-Table6[[#This Row],[Fault Start TimeStamp]])*24)</f>
        <v>23.999722222222225</v>
      </c>
      <c r="S860" s="377">
        <f>(Table6[[#This Row],[Fault Clearance time]]-Table6[[#This Row],[Work Start TimeStamp]])*24</f>
        <v>0</v>
      </c>
      <c r="T860" s="380">
        <f>(Table6[[#This Row],[Fault Clearance time]]-Table6[[#This Row],[Fault Start TimeStamp]])*24</f>
        <v>23.999722222222225</v>
      </c>
      <c r="U860" s="364" t="s">
        <v>498</v>
      </c>
      <c r="V860" s="364" t="s">
        <v>473</v>
      </c>
      <c r="W860" s="356">
        <f>Table6[[#This Row],[Breakdown Time]]*(1/39)</f>
        <v>0.61537749287749288</v>
      </c>
      <c r="X860" s="353" t="s">
        <v>1212</v>
      </c>
      <c r="Y860" s="39" t="s">
        <v>143</v>
      </c>
      <c r="Z860" s="357">
        <v>29408</v>
      </c>
      <c r="AA860" s="123">
        <f>IFERROR((Table6[[#This Row],[Paired WTG Generation for loss calculation]]/24)*Table6[[#This Row],[Breakdown Time]],"")</f>
        <v>29407.65962962963</v>
      </c>
      <c r="AB860" s="121" t="s">
        <v>478</v>
      </c>
      <c r="AC860" s="121"/>
      <c r="AD860" s="121"/>
    </row>
    <row r="861" spans="1:30">
      <c r="A861" s="121">
        <f t="shared" si="13"/>
        <v>860</v>
      </c>
      <c r="B861" s="381">
        <f>YEAR(Table6[[#This Row],[Date]])+IF(MONTH(Table6[[#This Row],[Date]])&gt;=4,1,0)</f>
        <v>2026</v>
      </c>
      <c r="C861" s="382">
        <f>YEAR(Table6[[#This Row],[Date]])</f>
        <v>2025</v>
      </c>
      <c r="D861" s="39" t="s">
        <v>490</v>
      </c>
      <c r="E861" s="135">
        <f>Table6[[#This Row],[Date]]-DAY(Table6[[#This Row],[Date]])+1</f>
        <v>45809</v>
      </c>
      <c r="F861" s="383">
        <v>45832</v>
      </c>
      <c r="G861" s="121" t="s">
        <v>131</v>
      </c>
      <c r="H861" s="39" t="str">
        <f>_xlfn.XLOOKUP(Table6[[#This Row],[Affected WTG]],'Basic Data'!$A:$A,'Basic Data'!$B:$B)</f>
        <v>PWEGPL</v>
      </c>
      <c r="I861" s="39" t="str">
        <f>_xlfn.XLOOKUP(Table6[[#This Row],[Affected WTG]],'Basic Data'!$A:$A,'Basic Data'!$C:$C)</f>
        <v>MSEDCL</v>
      </c>
      <c r="J861" s="363">
        <f>IFERROR(VLOOKUP(Table6[[#This Row],[Affected WTG]],'Basic Data'!$A$3:$E$56,5,0),"")</f>
        <v>2.564102564102564E-2</v>
      </c>
      <c r="K861" s="121" t="s">
        <v>492</v>
      </c>
      <c r="L861" s="39" t="str">
        <f>IFERROR(VLOOKUP(Table6[[#This Row],[Error Code]],'Basic Data'!$T:$U,2,0),"")</f>
        <v>Manual Stop - Safety Related</v>
      </c>
      <c r="M861" s="364" t="s">
        <v>462</v>
      </c>
      <c r="N861" s="121"/>
      <c r="O861" s="346">
        <v>0</v>
      </c>
      <c r="P861" s="346">
        <v>0.99998842592592596</v>
      </c>
      <c r="Q861" s="346">
        <v>0.99998842592592596</v>
      </c>
      <c r="R861" s="366">
        <f>IF(Table6[[#This Row],[Work Start TimeStamp]]="","",(Table6[[#This Row],[Work Start TimeStamp]]-Table6[[#This Row],[Fault Start TimeStamp]])*24)</f>
        <v>23.999722222222225</v>
      </c>
      <c r="S861" s="377">
        <f>(Table6[[#This Row],[Fault Clearance time]]-Table6[[#This Row],[Work Start TimeStamp]])*24</f>
        <v>0</v>
      </c>
      <c r="T861" s="380">
        <f>(Table6[[#This Row],[Fault Clearance time]]-Table6[[#This Row],[Fault Start TimeStamp]])*24</f>
        <v>23.999722222222225</v>
      </c>
      <c r="U861" s="364" t="s">
        <v>1247</v>
      </c>
      <c r="V861" s="364" t="s">
        <v>473</v>
      </c>
      <c r="W861" s="356">
        <f>Table6[[#This Row],[Breakdown Time]]*(1/39)</f>
        <v>0.61537749287749288</v>
      </c>
      <c r="X861" s="353" t="s">
        <v>465</v>
      </c>
      <c r="Y861" s="364" t="s">
        <v>130</v>
      </c>
      <c r="Z861" s="357">
        <v>29912</v>
      </c>
      <c r="AA861" s="123">
        <f>IFERROR((Table6[[#This Row],[Paired WTG Generation for loss calculation]]/24)*Table6[[#This Row],[Breakdown Time]],"")</f>
        <v>29911.653796296298</v>
      </c>
      <c r="AB861" s="121" t="s">
        <v>478</v>
      </c>
      <c r="AC861" s="121"/>
      <c r="AD861" s="121"/>
    </row>
    <row r="862" spans="1:30">
      <c r="A862" s="121">
        <f t="shared" si="13"/>
        <v>861</v>
      </c>
      <c r="B862" s="381">
        <f>YEAR(Table6[[#This Row],[Date]])+IF(MONTH(Table6[[#This Row],[Date]])&gt;=4,1,0)</f>
        <v>2026</v>
      </c>
      <c r="C862" s="382">
        <f>YEAR(Table6[[#This Row],[Date]])</f>
        <v>2025</v>
      </c>
      <c r="D862" s="39" t="s">
        <v>490</v>
      </c>
      <c r="E862" s="135">
        <f>Table6[[#This Row],[Date]]-DAY(Table6[[#This Row],[Date]])+1</f>
        <v>45809</v>
      </c>
      <c r="F862" s="383">
        <v>45832</v>
      </c>
      <c r="G862" s="121" t="s">
        <v>123</v>
      </c>
      <c r="H862" s="39" t="str">
        <f>_xlfn.XLOOKUP(Table6[[#This Row],[Affected WTG]],'Basic Data'!$A:$A,'Basic Data'!$B:$B)</f>
        <v>PWEGPL</v>
      </c>
      <c r="I862" s="39" t="str">
        <f>_xlfn.XLOOKUP(Table6[[#This Row],[Affected WTG]],'Basic Data'!$A:$A,'Basic Data'!$C:$C)</f>
        <v>MSEDCL</v>
      </c>
      <c r="J862" s="363">
        <f>IFERROR(VLOOKUP(Table6[[#This Row],[Affected WTG]],'Basic Data'!$A$3:$E$56,5,0),"")</f>
        <v>2.564102564102564E-2</v>
      </c>
      <c r="K862" s="121">
        <v>804</v>
      </c>
      <c r="L862" s="39" t="str">
        <f>IFERROR(VLOOKUP(Table6[[#This Row],[Error Code]],'Basic Data'!$T:$U,2,0),"")</f>
        <v>Difference Between 2 Blades Too High</v>
      </c>
      <c r="M862" s="364" t="s">
        <v>462</v>
      </c>
      <c r="N862" s="121"/>
      <c r="O862" s="346">
        <v>0.50486111111111109</v>
      </c>
      <c r="P862" s="346">
        <v>0.52708333333333335</v>
      </c>
      <c r="Q862" s="346">
        <v>0.64236111111111116</v>
      </c>
      <c r="R862" s="366">
        <f>IF(Table6[[#This Row],[Work Start TimeStamp]]="","",(Table6[[#This Row],[Work Start TimeStamp]]-Table6[[#This Row],[Fault Start TimeStamp]])*24)</f>
        <v>0.5333333333333341</v>
      </c>
      <c r="S862" s="377">
        <f>(Table6[[#This Row],[Fault Clearance time]]-Table6[[#This Row],[Work Start TimeStamp]])*24</f>
        <v>2.7666666666666675</v>
      </c>
      <c r="T862" s="380">
        <f>(Table6[[#This Row],[Fault Clearance time]]-Table6[[#This Row],[Fault Start TimeStamp]])*24</f>
        <v>3.3000000000000016</v>
      </c>
      <c r="U862" s="364" t="s">
        <v>1297</v>
      </c>
      <c r="V862" s="364" t="s">
        <v>463</v>
      </c>
      <c r="W862" s="356">
        <f>Table6[[#This Row],[Breakdown Time]]*(1/39)</f>
        <v>8.4615384615384648E-2</v>
      </c>
      <c r="X862" s="353" t="s">
        <v>465</v>
      </c>
      <c r="Y862" s="364" t="s">
        <v>127</v>
      </c>
      <c r="Z862" s="357">
        <v>29109</v>
      </c>
      <c r="AA862" s="123">
        <f>IFERROR((Table6[[#This Row],[Paired WTG Generation for loss calculation]]/24)*Table6[[#This Row],[Breakdown Time]],"")</f>
        <v>4002.487500000002</v>
      </c>
      <c r="AB862" s="121" t="s">
        <v>478</v>
      </c>
      <c r="AC862" s="121"/>
      <c r="AD862" s="121"/>
    </row>
    <row r="863" spans="1:30">
      <c r="A863" s="121">
        <f t="shared" si="13"/>
        <v>862</v>
      </c>
      <c r="B863" s="381">
        <f>YEAR(Table6[[#This Row],[Date]])+IF(MONTH(Table6[[#This Row],[Date]])&gt;=4,1,0)</f>
        <v>2026</v>
      </c>
      <c r="C863" s="382">
        <f>YEAR(Table6[[#This Row],[Date]])</f>
        <v>2025</v>
      </c>
      <c r="D863" s="39" t="s">
        <v>490</v>
      </c>
      <c r="E863" s="135">
        <f>Table6[[#This Row],[Date]]-DAY(Table6[[#This Row],[Date]])+1</f>
        <v>45809</v>
      </c>
      <c r="F863" s="383">
        <v>45832</v>
      </c>
      <c r="G863" s="384" t="s">
        <v>126</v>
      </c>
      <c r="H863" s="39" t="str">
        <f>_xlfn.XLOOKUP(Table6[[#This Row],[Affected WTG]],'Basic Data'!$A:$A,'Basic Data'!$B:$B)</f>
        <v>PWEGPL</v>
      </c>
      <c r="I863" s="39" t="str">
        <f>_xlfn.XLOOKUP(Table6[[#This Row],[Affected WTG]],'Basic Data'!$A:$A,'Basic Data'!$C:$C)</f>
        <v>MSEDCL</v>
      </c>
      <c r="J863" s="363">
        <f>IFERROR(VLOOKUP(Table6[[#This Row],[Affected WTG]],'Basic Data'!$A$3:$E$56,5,0),"")</f>
        <v>2.564102564102564E-2</v>
      </c>
      <c r="K863" s="121">
        <v>203</v>
      </c>
      <c r="L863" s="39" t="str">
        <f>IFERROR(VLOOKUP(Table6[[#This Row],[Error Code]],'Basic Data'!$T:$U,2,0),"")</f>
        <v>Low Pressure On Hydraulic Group</v>
      </c>
      <c r="M863" s="364" t="s">
        <v>462</v>
      </c>
      <c r="N863" s="121"/>
      <c r="O863" s="346">
        <v>0.6118055555555556</v>
      </c>
      <c r="P863" s="346">
        <v>0.62847222222222221</v>
      </c>
      <c r="Q863" s="346">
        <v>0.65625</v>
      </c>
      <c r="R863" s="366">
        <f>IF(Table6[[#This Row],[Work Start TimeStamp]]="","",(Table6[[#This Row],[Work Start TimeStamp]]-Table6[[#This Row],[Fault Start TimeStamp]])*24)</f>
        <v>0.39999999999999858</v>
      </c>
      <c r="S863" s="377">
        <f>(Table6[[#This Row],[Fault Clearance time]]-Table6[[#This Row],[Work Start TimeStamp]])*24</f>
        <v>0.66666666666666696</v>
      </c>
      <c r="T863" s="380">
        <f>(Table6[[#This Row],[Fault Clearance time]]-Table6[[#This Row],[Fault Start TimeStamp]])*24</f>
        <v>1.0666666666666655</v>
      </c>
      <c r="U863" s="364" t="s">
        <v>1298</v>
      </c>
      <c r="V863" s="364" t="s">
        <v>463</v>
      </c>
      <c r="W863" s="356">
        <f>Table6[[#This Row],[Breakdown Time]]*(1/39)</f>
        <v>2.7350427350427319E-2</v>
      </c>
      <c r="X863" s="353" t="s">
        <v>465</v>
      </c>
      <c r="Y863" s="364" t="s">
        <v>127</v>
      </c>
      <c r="Z863" s="357">
        <v>29109</v>
      </c>
      <c r="AA863" s="123">
        <f>IFERROR((Table6[[#This Row],[Paired WTG Generation for loss calculation]]/24)*Table6[[#This Row],[Breakdown Time]],"")</f>
        <v>1293.733333333332</v>
      </c>
      <c r="AB863" s="121" t="s">
        <v>478</v>
      </c>
      <c r="AC863" s="121"/>
      <c r="AD863" s="121"/>
    </row>
    <row r="864" spans="1:30">
      <c r="A864" s="121">
        <f t="shared" si="13"/>
        <v>863</v>
      </c>
      <c r="B864" s="381">
        <f>YEAR(Table6[[#This Row],[Date]])+IF(MONTH(Table6[[#This Row],[Date]])&gt;=4,1,0)</f>
        <v>2026</v>
      </c>
      <c r="C864" s="382">
        <f>YEAR(Table6[[#This Row],[Date]])</f>
        <v>2025</v>
      </c>
      <c r="D864" s="39" t="s">
        <v>490</v>
      </c>
      <c r="E864" s="135">
        <f>Table6[[#This Row],[Date]]-DAY(Table6[[#This Row],[Date]])+1</f>
        <v>45809</v>
      </c>
      <c r="F864" s="383">
        <v>45833</v>
      </c>
      <c r="G864" s="384" t="s">
        <v>144</v>
      </c>
      <c r="H864" s="39" t="str">
        <f>_xlfn.XLOOKUP(Table6[[#This Row],[Affected WTG]],'Basic Data'!$A:$A,'Basic Data'!$B:$B)</f>
        <v>PWEGPL</v>
      </c>
      <c r="I864" s="39" t="str">
        <f>_xlfn.XLOOKUP(Table6[[#This Row],[Affected WTG]],'Basic Data'!$A:$A,'Basic Data'!$C:$C)</f>
        <v>MSEDCL</v>
      </c>
      <c r="J864" s="385">
        <f>IFERROR(VLOOKUP(Table6[[#This Row],[Affected WTG]],'Basic Data'!$A$3:$E$56,5,0),"")</f>
        <v>2.564102564102564E-2</v>
      </c>
      <c r="K864" s="121" t="s">
        <v>492</v>
      </c>
      <c r="L864" s="386" t="str">
        <f>IFERROR(VLOOKUP(Table6[[#This Row],[Error Code]],'Basic Data'!$T:$U,2,0),"")</f>
        <v>Manual Stop - Safety Related</v>
      </c>
      <c r="M864" s="364" t="s">
        <v>481</v>
      </c>
      <c r="N864" s="121"/>
      <c r="O864" s="346">
        <v>0</v>
      </c>
      <c r="P864" s="346">
        <v>0.99998842592592596</v>
      </c>
      <c r="Q864" s="346">
        <v>0.99998842592592596</v>
      </c>
      <c r="R864" s="366">
        <f>IF(Table6[[#This Row],[Work Start TimeStamp]]="","",(Table6[[#This Row],[Work Start TimeStamp]]-Table6[[#This Row],[Fault Start TimeStamp]])*24)</f>
        <v>23.999722222222225</v>
      </c>
      <c r="S864" s="377">
        <f>(Table6[[#This Row],[Fault Clearance time]]-Table6[[#This Row],[Work Start TimeStamp]])*24</f>
        <v>0</v>
      </c>
      <c r="T864" s="380">
        <f>(Table6[[#This Row],[Fault Clearance time]]-Table6[[#This Row],[Fault Start TimeStamp]])*24</f>
        <v>23.999722222222225</v>
      </c>
      <c r="U864" s="364" t="s">
        <v>498</v>
      </c>
      <c r="V864" s="364" t="s">
        <v>473</v>
      </c>
      <c r="W864" s="356">
        <f>Table6[[#This Row],[Breakdown Time]]*(1/39)</f>
        <v>0.61537749287749288</v>
      </c>
      <c r="X864" s="353" t="s">
        <v>1212</v>
      </c>
      <c r="Y864" s="39" t="s">
        <v>143</v>
      </c>
      <c r="Z864" s="357">
        <v>18453</v>
      </c>
      <c r="AA864" s="123">
        <f>IFERROR((Table6[[#This Row],[Paired WTG Generation for loss calculation]]/24)*Table6[[#This Row],[Breakdown Time]],"")</f>
        <v>18452.786423611113</v>
      </c>
      <c r="AB864" s="121" t="s">
        <v>478</v>
      </c>
      <c r="AC864" s="121"/>
      <c r="AD864" s="121"/>
    </row>
    <row r="865" spans="1:30">
      <c r="A865" s="121">
        <f t="shared" si="13"/>
        <v>864</v>
      </c>
      <c r="B865" s="381">
        <f>YEAR(Table6[[#This Row],[Date]])+IF(MONTH(Table6[[#This Row],[Date]])&gt;=4,1,0)</f>
        <v>2026</v>
      </c>
      <c r="C865" s="382">
        <f>YEAR(Table6[[#This Row],[Date]])</f>
        <v>2025</v>
      </c>
      <c r="D865" s="39" t="s">
        <v>490</v>
      </c>
      <c r="E865" s="135">
        <f>Table6[[#This Row],[Date]]-DAY(Table6[[#This Row],[Date]])+1</f>
        <v>45809</v>
      </c>
      <c r="F865" s="383">
        <v>45833</v>
      </c>
      <c r="G865" s="121" t="s">
        <v>142</v>
      </c>
      <c r="H865" s="39" t="str">
        <f>_xlfn.XLOOKUP(Table6[[#This Row],[Affected WTG]],'Basic Data'!$A:$A,'Basic Data'!$B:$B)</f>
        <v>PWEGPL</v>
      </c>
      <c r="I865" s="39" t="str">
        <f>_xlfn.XLOOKUP(Table6[[#This Row],[Affected WTG]],'Basic Data'!$A:$A,'Basic Data'!$C:$C)</f>
        <v>MSEDCL</v>
      </c>
      <c r="J865" s="385">
        <f>IFERROR(VLOOKUP(Table6[[#This Row],[Affected WTG]],'Basic Data'!$A$3:$E$56,5,0),"")</f>
        <v>2.564102564102564E-2</v>
      </c>
      <c r="K865" s="121" t="s">
        <v>492</v>
      </c>
      <c r="L865" s="386" t="str">
        <f>IFERROR(VLOOKUP(Table6[[#This Row],[Error Code]],'Basic Data'!$T:$U,2,0),"")</f>
        <v>Manual Stop - Safety Related</v>
      </c>
      <c r="M865" s="364" t="s">
        <v>481</v>
      </c>
      <c r="N865" s="121"/>
      <c r="O865" s="346">
        <v>0</v>
      </c>
      <c r="P865" s="346">
        <v>0.99998842592592596</v>
      </c>
      <c r="Q865" s="346">
        <v>0.99998842592592596</v>
      </c>
      <c r="R865" s="366">
        <f>IF(Table6[[#This Row],[Work Start TimeStamp]]="","",(Table6[[#This Row],[Work Start TimeStamp]]-Table6[[#This Row],[Fault Start TimeStamp]])*24)</f>
        <v>23.999722222222225</v>
      </c>
      <c r="S865" s="377">
        <f>(Table6[[#This Row],[Fault Clearance time]]-Table6[[#This Row],[Work Start TimeStamp]])*24</f>
        <v>0</v>
      </c>
      <c r="T865" s="380">
        <f>(Table6[[#This Row],[Fault Clearance time]]-Table6[[#This Row],[Fault Start TimeStamp]])*24</f>
        <v>23.999722222222225</v>
      </c>
      <c r="U865" s="364" t="s">
        <v>498</v>
      </c>
      <c r="V865" s="364" t="s">
        <v>473</v>
      </c>
      <c r="W865" s="356">
        <f>Table6[[#This Row],[Breakdown Time]]*(1/39)</f>
        <v>0.61537749287749288</v>
      </c>
      <c r="X865" s="353" t="s">
        <v>1212</v>
      </c>
      <c r="Y865" s="39" t="s">
        <v>143</v>
      </c>
      <c r="Z865" s="357">
        <v>18453</v>
      </c>
      <c r="AA865" s="123">
        <f>IFERROR((Table6[[#This Row],[Paired WTG Generation for loss calculation]]/24)*Table6[[#This Row],[Breakdown Time]],"")</f>
        <v>18452.786423611113</v>
      </c>
      <c r="AB865" s="121" t="s">
        <v>478</v>
      </c>
      <c r="AC865" s="121"/>
      <c r="AD865" s="121"/>
    </row>
    <row r="866" spans="1:30">
      <c r="A866" s="121">
        <f t="shared" si="13"/>
        <v>865</v>
      </c>
      <c r="B866" s="381">
        <f>YEAR(Table6[[#This Row],[Date]])+IF(MONTH(Table6[[#This Row],[Date]])&gt;=4,1,0)</f>
        <v>2026</v>
      </c>
      <c r="C866" s="382">
        <f>YEAR(Table6[[#This Row],[Date]])</f>
        <v>2025</v>
      </c>
      <c r="D866" s="39" t="s">
        <v>490</v>
      </c>
      <c r="E866" s="135">
        <f>Table6[[#This Row],[Date]]-DAY(Table6[[#This Row],[Date]])+1</f>
        <v>45809</v>
      </c>
      <c r="F866" s="383">
        <v>45833</v>
      </c>
      <c r="G866" s="121" t="s">
        <v>131</v>
      </c>
      <c r="H866" s="39" t="str">
        <f>_xlfn.XLOOKUP(Table6[[#This Row],[Affected WTG]],'Basic Data'!$A:$A,'Basic Data'!$B:$B)</f>
        <v>PWEGPL</v>
      </c>
      <c r="I866" s="39" t="str">
        <f>_xlfn.XLOOKUP(Table6[[#This Row],[Affected WTG]],'Basic Data'!$A:$A,'Basic Data'!$C:$C)</f>
        <v>MSEDCL</v>
      </c>
      <c r="J866" s="385">
        <f>IFERROR(VLOOKUP(Table6[[#This Row],[Affected WTG]],'Basic Data'!$A$3:$E$56,5,0),"")</f>
        <v>2.564102564102564E-2</v>
      </c>
      <c r="K866" s="121" t="s">
        <v>492</v>
      </c>
      <c r="L866" s="386" t="str">
        <f>IFERROR(VLOOKUP(Table6[[#This Row],[Error Code]],'Basic Data'!$T:$U,2,0),"")</f>
        <v>Manual Stop - Safety Related</v>
      </c>
      <c r="M866" s="364" t="s">
        <v>462</v>
      </c>
      <c r="N866" s="121"/>
      <c r="O866" s="346">
        <v>0</v>
      </c>
      <c r="P866" s="346">
        <v>0.99998842592592596</v>
      </c>
      <c r="Q866" s="346">
        <v>0.99998842592592596</v>
      </c>
      <c r="R866" s="366">
        <f>IF(Table6[[#This Row],[Work Start TimeStamp]]="","",(Table6[[#This Row],[Work Start TimeStamp]]-Table6[[#This Row],[Fault Start TimeStamp]])*24)</f>
        <v>23.999722222222225</v>
      </c>
      <c r="S866" s="377">
        <f>(Table6[[#This Row],[Fault Clearance time]]-Table6[[#This Row],[Work Start TimeStamp]])*24</f>
        <v>0</v>
      </c>
      <c r="T866" s="380">
        <f>(Table6[[#This Row],[Fault Clearance time]]-Table6[[#This Row],[Fault Start TimeStamp]])*24</f>
        <v>23.999722222222225</v>
      </c>
      <c r="U866" s="364" t="s">
        <v>1247</v>
      </c>
      <c r="V866" s="364" t="s">
        <v>473</v>
      </c>
      <c r="W866" s="356">
        <f>Table6[[#This Row],[Breakdown Time]]*(1/39)</f>
        <v>0.61537749287749288</v>
      </c>
      <c r="X866" s="353" t="s">
        <v>465</v>
      </c>
      <c r="Y866" s="364" t="s">
        <v>132</v>
      </c>
      <c r="Z866" s="357">
        <v>18881</v>
      </c>
      <c r="AA866" s="123">
        <f>IFERROR((Table6[[#This Row],[Paired WTG Generation for loss calculation]]/24)*Table6[[#This Row],[Breakdown Time]],"")</f>
        <v>18880.781469907412</v>
      </c>
      <c r="AB866" s="121" t="s">
        <v>478</v>
      </c>
      <c r="AC866" s="121"/>
      <c r="AD866" s="121"/>
    </row>
    <row r="867" spans="1:30">
      <c r="A867" s="121">
        <f t="shared" si="13"/>
        <v>866</v>
      </c>
      <c r="B867" s="381">
        <f>YEAR(Table6[[#This Row],[Date]])+IF(MONTH(Table6[[#This Row],[Date]])&gt;=4,1,0)</f>
        <v>2026</v>
      </c>
      <c r="C867" s="382">
        <f>YEAR(Table6[[#This Row],[Date]])</f>
        <v>2025</v>
      </c>
      <c r="D867" s="39" t="s">
        <v>490</v>
      </c>
      <c r="E867" s="135">
        <f>Table6[[#This Row],[Date]]-DAY(Table6[[#This Row],[Date]])+1</f>
        <v>45809</v>
      </c>
      <c r="F867" s="383">
        <v>45833</v>
      </c>
      <c r="G867" s="121" t="s">
        <v>130</v>
      </c>
      <c r="H867" s="39" t="str">
        <f>_xlfn.XLOOKUP(Table6[[#This Row],[Affected WTG]],'Basic Data'!$A:$A,'Basic Data'!$B:$B)</f>
        <v>PWEGPL</v>
      </c>
      <c r="I867" s="39" t="str">
        <f>_xlfn.XLOOKUP(Table6[[#This Row],[Affected WTG]],'Basic Data'!$A:$A,'Basic Data'!$C:$C)</f>
        <v>MSEDCL</v>
      </c>
      <c r="J867" s="385">
        <f>IFERROR(VLOOKUP(Table6[[#This Row],[Affected WTG]],'Basic Data'!$A$3:$E$56,5,0),"")</f>
        <v>2.564102564102564E-2</v>
      </c>
      <c r="K867" s="121" t="s">
        <v>466</v>
      </c>
      <c r="L867" s="386" t="str">
        <f>IFERROR(VLOOKUP(Table6[[#This Row],[Error Code]],'Basic Data'!$T:$U,2,0),"")</f>
        <v>Manual Stop</v>
      </c>
      <c r="M867" s="364" t="s">
        <v>479</v>
      </c>
      <c r="N867" s="121"/>
      <c r="O867" s="346">
        <v>0.57638888888888884</v>
      </c>
      <c r="P867" s="346">
        <v>0.57638888888888884</v>
      </c>
      <c r="Q867" s="346">
        <v>0.62777777777777777</v>
      </c>
      <c r="R867" s="366">
        <f>IF(Table6[[#This Row],[Work Start TimeStamp]]="","",(Table6[[#This Row],[Work Start TimeStamp]]-Table6[[#This Row],[Fault Start TimeStamp]])*24)</f>
        <v>0</v>
      </c>
      <c r="S867" s="377">
        <f>(Table6[[#This Row],[Fault Clearance time]]-Table6[[#This Row],[Work Start TimeStamp]])*24</f>
        <v>1.2333333333333343</v>
      </c>
      <c r="T867" s="380">
        <f>(Table6[[#This Row],[Fault Clearance time]]-Table6[[#This Row],[Fault Start TimeStamp]])*24</f>
        <v>1.2333333333333343</v>
      </c>
      <c r="U867" s="364" t="s">
        <v>1299</v>
      </c>
      <c r="V867" s="364" t="s">
        <v>463</v>
      </c>
      <c r="W867" s="356">
        <f>Table6[[#This Row],[Breakdown Time]]*(1/39)</f>
        <v>3.162393162393165E-2</v>
      </c>
      <c r="X867" s="353" t="s">
        <v>464</v>
      </c>
      <c r="Y867" s="364" t="s">
        <v>132</v>
      </c>
      <c r="Z867" s="357">
        <v>18881</v>
      </c>
      <c r="AA867" s="123">
        <f>IFERROR((Table6[[#This Row],[Paired WTG Generation for loss calculation]]/24)*Table6[[#This Row],[Breakdown Time]],"")</f>
        <v>970.2736111111119</v>
      </c>
      <c r="AB867" s="121" t="s">
        <v>478</v>
      </c>
      <c r="AC867" s="121"/>
      <c r="AD867" s="121"/>
    </row>
    <row r="868" spans="1:30">
      <c r="A868" s="121">
        <f t="shared" si="13"/>
        <v>867</v>
      </c>
      <c r="B868" s="381">
        <f>YEAR(Table6[[#This Row],[Date]])+IF(MONTH(Table6[[#This Row],[Date]])&gt;=4,1,0)</f>
        <v>2026</v>
      </c>
      <c r="C868" s="382">
        <f>YEAR(Table6[[#This Row],[Date]])</f>
        <v>2025</v>
      </c>
      <c r="D868" s="39" t="s">
        <v>490</v>
      </c>
      <c r="E868" s="135">
        <f>Table6[[#This Row],[Date]]-DAY(Table6[[#This Row],[Date]])+1</f>
        <v>45809</v>
      </c>
      <c r="F868" s="383">
        <v>45833</v>
      </c>
      <c r="G868" s="121" t="s">
        <v>151</v>
      </c>
      <c r="H868" s="39" t="str">
        <f>_xlfn.XLOOKUP(Table6[[#This Row],[Affected WTG]],'Basic Data'!$A:$A,'Basic Data'!$B:$B)</f>
        <v>PWEGPL</v>
      </c>
      <c r="I868" s="39" t="str">
        <f>_xlfn.XLOOKUP(Table6[[#This Row],[Affected WTG]],'Basic Data'!$A:$A,'Basic Data'!$C:$C)</f>
        <v>MSEDCL</v>
      </c>
      <c r="J868" s="385">
        <f>IFERROR(VLOOKUP(Table6[[#This Row],[Affected WTG]],'Basic Data'!$A$3:$E$56,5,0),"")</f>
        <v>2.564102564102564E-2</v>
      </c>
      <c r="K868" s="121">
        <v>2118</v>
      </c>
      <c r="L868" s="386" t="str">
        <f>IFERROR(VLOOKUP(Table6[[#This Row],[Error Code]],'Basic Data'!$T:$U,2,0),"")</f>
        <v>Bus Error - Interbus Failure</v>
      </c>
      <c r="M868" s="364" t="s">
        <v>462</v>
      </c>
      <c r="N868" s="121"/>
      <c r="O868" s="346">
        <v>0.625</v>
      </c>
      <c r="P868" s="346">
        <v>0.65694444444444444</v>
      </c>
      <c r="Q868" s="346">
        <v>0.70277777777777772</v>
      </c>
      <c r="R868" s="366">
        <f>IF(Table6[[#This Row],[Work Start TimeStamp]]="","",(Table6[[#This Row],[Work Start TimeStamp]]-Table6[[#This Row],[Fault Start TimeStamp]])*24)</f>
        <v>0.76666666666666661</v>
      </c>
      <c r="S868" s="377">
        <f>(Table6[[#This Row],[Fault Clearance time]]-Table6[[#This Row],[Work Start TimeStamp]])*24</f>
        <v>1.0999999999999988</v>
      </c>
      <c r="T868" s="380">
        <f>(Table6[[#This Row],[Fault Clearance time]]-Table6[[#This Row],[Fault Start TimeStamp]])*24</f>
        <v>1.8666666666666654</v>
      </c>
      <c r="U868" s="364" t="s">
        <v>1244</v>
      </c>
      <c r="V868" s="364" t="s">
        <v>463</v>
      </c>
      <c r="W868" s="356">
        <f>Table6[[#This Row],[Breakdown Time]]*(1/39)</f>
        <v>4.7863247863247825E-2</v>
      </c>
      <c r="X868" s="353" t="s">
        <v>465</v>
      </c>
      <c r="Y868" s="364" t="s">
        <v>152</v>
      </c>
      <c r="Z868" s="357">
        <v>18432</v>
      </c>
      <c r="AA868" s="123">
        <f>IFERROR((Table6[[#This Row],[Paired WTG Generation for loss calculation]]/24)*Table6[[#This Row],[Breakdown Time]],"")</f>
        <v>1433.599999999999</v>
      </c>
      <c r="AB868" s="121" t="s">
        <v>478</v>
      </c>
      <c r="AC868" s="121"/>
      <c r="AD868" s="121"/>
    </row>
    <row r="869" spans="1:30">
      <c r="A869" s="121">
        <f t="shared" si="13"/>
        <v>868</v>
      </c>
      <c r="B869" s="381">
        <f>YEAR(Table6[[#This Row],[Date]])+IF(MONTH(Table6[[#This Row],[Date]])&gt;=4,1,0)</f>
        <v>2026</v>
      </c>
      <c r="C869" s="382">
        <f>YEAR(Table6[[#This Row],[Date]])</f>
        <v>2025</v>
      </c>
      <c r="D869" s="39" t="s">
        <v>490</v>
      </c>
      <c r="E869" s="135">
        <f>Table6[[#This Row],[Date]]-DAY(Table6[[#This Row],[Date]])+1</f>
        <v>45809</v>
      </c>
      <c r="F869" s="383">
        <v>45833</v>
      </c>
      <c r="G869" s="384" t="s">
        <v>116</v>
      </c>
      <c r="H869" s="39" t="str">
        <f>_xlfn.XLOOKUP(Table6[[#This Row],[Affected WTG]],'Basic Data'!$A:$A,'Basic Data'!$B:$B)</f>
        <v>PWEGPL</v>
      </c>
      <c r="I869" s="39" t="str">
        <f>_xlfn.XLOOKUP(Table6[[#This Row],[Affected WTG]],'Basic Data'!$A:$A,'Basic Data'!$C:$C)</f>
        <v>MSEDCL</v>
      </c>
      <c r="J869" s="385">
        <f>IFERROR(VLOOKUP(Table6[[#This Row],[Affected WTG]],'Basic Data'!$A$3:$E$56,5,0),"")</f>
        <v>2.564102564102564E-2</v>
      </c>
      <c r="K869" s="121">
        <v>2118</v>
      </c>
      <c r="L869" s="386" t="str">
        <f>IFERROR(VLOOKUP(Table6[[#This Row],[Error Code]],'Basic Data'!$T:$U,2,0),"")</f>
        <v>Bus Error - Interbus Failure</v>
      </c>
      <c r="M869" s="364" t="s">
        <v>462</v>
      </c>
      <c r="N869" s="121"/>
      <c r="O869" s="346">
        <v>0.72569444444444442</v>
      </c>
      <c r="P869" s="346">
        <v>0.74722222222222223</v>
      </c>
      <c r="Q869" s="346">
        <v>0.74930555555555556</v>
      </c>
      <c r="R869" s="366">
        <f>IF(Table6[[#This Row],[Work Start TimeStamp]]="","",(Table6[[#This Row],[Work Start TimeStamp]]-Table6[[#This Row],[Fault Start TimeStamp]])*24)</f>
        <v>0.5166666666666675</v>
      </c>
      <c r="S869" s="377">
        <f>(Table6[[#This Row],[Fault Clearance time]]-Table6[[#This Row],[Work Start TimeStamp]])*24</f>
        <v>4.9999999999999822E-2</v>
      </c>
      <c r="T869" s="380">
        <f>(Table6[[#This Row],[Fault Clearance time]]-Table6[[#This Row],[Fault Start TimeStamp]])*24</f>
        <v>0.56666666666666732</v>
      </c>
      <c r="U869" s="364" t="s">
        <v>493</v>
      </c>
      <c r="V869" s="364" t="s">
        <v>463</v>
      </c>
      <c r="W869" s="356">
        <f>Table6[[#This Row],[Breakdown Time]]*(1/39)</f>
        <v>1.4529914529914546E-2</v>
      </c>
      <c r="X869" s="353" t="s">
        <v>465</v>
      </c>
      <c r="Y869" s="364" t="s">
        <v>118</v>
      </c>
      <c r="Z869" s="357">
        <v>17945</v>
      </c>
      <c r="AA869" s="123">
        <f>IFERROR((Table6[[#This Row],[Paired WTG Generation for loss calculation]]/24)*Table6[[#This Row],[Breakdown Time]],"")</f>
        <v>423.70138888888943</v>
      </c>
      <c r="AB869" s="121" t="s">
        <v>478</v>
      </c>
      <c r="AC869" s="121"/>
      <c r="AD869" s="121"/>
    </row>
    <row r="870" spans="1:30">
      <c r="A870" s="121">
        <f t="shared" si="13"/>
        <v>869</v>
      </c>
      <c r="B870" s="381">
        <f>YEAR(Table6[[#This Row],[Date]])+IF(MONTH(Table6[[#This Row],[Date]])&gt;=4,1,0)</f>
        <v>2026</v>
      </c>
      <c r="C870" s="382">
        <f>YEAR(Table6[[#This Row],[Date]])</f>
        <v>2025</v>
      </c>
      <c r="D870" s="39" t="s">
        <v>490</v>
      </c>
      <c r="E870" s="135">
        <f>Table6[[#This Row],[Date]]-DAY(Table6[[#This Row],[Date]])+1</f>
        <v>45809</v>
      </c>
      <c r="F870" s="383">
        <v>45834</v>
      </c>
      <c r="G870" s="384" t="s">
        <v>144</v>
      </c>
      <c r="H870" s="39" t="str">
        <f>_xlfn.XLOOKUP(Table6[[#This Row],[Affected WTG]],'Basic Data'!$A:$A,'Basic Data'!$B:$B)</f>
        <v>PWEGPL</v>
      </c>
      <c r="I870" s="39" t="str">
        <f>_xlfn.XLOOKUP(Table6[[#This Row],[Affected WTG]],'Basic Data'!$A:$A,'Basic Data'!$C:$C)</f>
        <v>MSEDCL</v>
      </c>
      <c r="J870" s="385">
        <f>IFERROR(VLOOKUP(Table6[[#This Row],[Affected WTG]],'Basic Data'!$A$3:$E$56,5,0),"")</f>
        <v>2.564102564102564E-2</v>
      </c>
      <c r="K870" s="121" t="s">
        <v>492</v>
      </c>
      <c r="L870" s="386" t="str">
        <f>IFERROR(VLOOKUP(Table6[[#This Row],[Error Code]],'Basic Data'!$T:$U,2,0),"")</f>
        <v>Manual Stop - Safety Related</v>
      </c>
      <c r="M870" s="364" t="s">
        <v>481</v>
      </c>
      <c r="N870" s="121"/>
      <c r="O870" s="346">
        <v>0</v>
      </c>
      <c r="P870" s="346">
        <v>0.99998842592592596</v>
      </c>
      <c r="Q870" s="346">
        <v>0.99998842592592596</v>
      </c>
      <c r="R870" s="366">
        <f>IF(Table6[[#This Row],[Work Start TimeStamp]]="","",(Table6[[#This Row],[Work Start TimeStamp]]-Table6[[#This Row],[Fault Start TimeStamp]])*24)</f>
        <v>23.999722222222225</v>
      </c>
      <c r="S870" s="377">
        <f>(Table6[[#This Row],[Fault Clearance time]]-Table6[[#This Row],[Work Start TimeStamp]])*24</f>
        <v>0</v>
      </c>
      <c r="T870" s="380">
        <f>(Table6[[#This Row],[Fault Clearance time]]-Table6[[#This Row],[Fault Start TimeStamp]])*24</f>
        <v>23.999722222222225</v>
      </c>
      <c r="U870" s="364" t="s">
        <v>498</v>
      </c>
      <c r="V870" s="364" t="s">
        <v>473</v>
      </c>
      <c r="W870" s="356">
        <f>Table6[[#This Row],[Breakdown Time]]*(1/39)</f>
        <v>0.61537749287749288</v>
      </c>
      <c r="X870" s="353" t="s">
        <v>1212</v>
      </c>
      <c r="Y870" s="39" t="s">
        <v>143</v>
      </c>
      <c r="Z870" s="15">
        <v>10021</v>
      </c>
      <c r="AA870" s="123">
        <f>IFERROR((Table6[[#This Row],[Paired WTG Generation for loss calculation]]/24)*Table6[[#This Row],[Breakdown Time]],"")</f>
        <v>10020.884016203705</v>
      </c>
      <c r="AB870" s="121" t="s">
        <v>478</v>
      </c>
      <c r="AC870" s="121"/>
      <c r="AD870" s="121"/>
    </row>
    <row r="871" spans="1:30">
      <c r="A871" s="121">
        <f t="shared" si="13"/>
        <v>870</v>
      </c>
      <c r="B871" s="381">
        <f>YEAR(Table6[[#This Row],[Date]])+IF(MONTH(Table6[[#This Row],[Date]])&gt;=4,1,0)</f>
        <v>2026</v>
      </c>
      <c r="C871" s="382">
        <f>YEAR(Table6[[#This Row],[Date]])</f>
        <v>2025</v>
      </c>
      <c r="D871" s="39" t="s">
        <v>490</v>
      </c>
      <c r="E871" s="135">
        <f>Table6[[#This Row],[Date]]-DAY(Table6[[#This Row],[Date]])+1</f>
        <v>45809</v>
      </c>
      <c r="F871" s="383">
        <v>45834</v>
      </c>
      <c r="G871" s="121" t="s">
        <v>142</v>
      </c>
      <c r="H871" s="39" t="str">
        <f>_xlfn.XLOOKUP(Table6[[#This Row],[Affected WTG]],'Basic Data'!$A:$A,'Basic Data'!$B:$B)</f>
        <v>PWEGPL</v>
      </c>
      <c r="I871" s="39" t="str">
        <f>_xlfn.XLOOKUP(Table6[[#This Row],[Affected WTG]],'Basic Data'!$A:$A,'Basic Data'!$C:$C)</f>
        <v>MSEDCL</v>
      </c>
      <c r="J871" s="385">
        <f>IFERROR(VLOOKUP(Table6[[#This Row],[Affected WTG]],'Basic Data'!$A$3:$E$56,5,0),"")</f>
        <v>2.564102564102564E-2</v>
      </c>
      <c r="K871" s="121" t="s">
        <v>492</v>
      </c>
      <c r="L871" s="386" t="str">
        <f>IFERROR(VLOOKUP(Table6[[#This Row],[Error Code]],'Basic Data'!$T:$U,2,0),"")</f>
        <v>Manual Stop - Safety Related</v>
      </c>
      <c r="M871" s="364" t="s">
        <v>481</v>
      </c>
      <c r="N871" s="121"/>
      <c r="O871" s="346">
        <v>0</v>
      </c>
      <c r="P871" s="346">
        <v>0.99998842592592596</v>
      </c>
      <c r="Q871" s="346">
        <v>0.99998842592592596</v>
      </c>
      <c r="R871" s="366">
        <f>IF(Table6[[#This Row],[Work Start TimeStamp]]="","",(Table6[[#This Row],[Work Start TimeStamp]]-Table6[[#This Row],[Fault Start TimeStamp]])*24)</f>
        <v>23.999722222222225</v>
      </c>
      <c r="S871" s="377">
        <f>(Table6[[#This Row],[Fault Clearance time]]-Table6[[#This Row],[Work Start TimeStamp]])*24</f>
        <v>0</v>
      </c>
      <c r="T871" s="380">
        <f>(Table6[[#This Row],[Fault Clearance time]]-Table6[[#This Row],[Fault Start TimeStamp]])*24</f>
        <v>23.999722222222225</v>
      </c>
      <c r="U871" s="364" t="s">
        <v>498</v>
      </c>
      <c r="V871" s="364" t="s">
        <v>473</v>
      </c>
      <c r="W871" s="356">
        <f>Table6[[#This Row],[Breakdown Time]]*(1/39)</f>
        <v>0.61537749287749288</v>
      </c>
      <c r="X871" s="353" t="s">
        <v>1212</v>
      </c>
      <c r="Y871" s="39" t="s">
        <v>143</v>
      </c>
      <c r="Z871" s="15">
        <v>10021</v>
      </c>
      <c r="AA871" s="123">
        <f>IFERROR((Table6[[#This Row],[Paired WTG Generation for loss calculation]]/24)*Table6[[#This Row],[Breakdown Time]],"")</f>
        <v>10020.884016203705</v>
      </c>
      <c r="AB871" s="121" t="s">
        <v>478</v>
      </c>
      <c r="AC871" s="121"/>
      <c r="AD871" s="121"/>
    </row>
    <row r="872" spans="1:30">
      <c r="A872" s="121">
        <f t="shared" si="13"/>
        <v>871</v>
      </c>
      <c r="B872" s="381">
        <f>YEAR(Table6[[#This Row],[Date]])+IF(MONTH(Table6[[#This Row],[Date]])&gt;=4,1,0)</f>
        <v>2026</v>
      </c>
      <c r="C872" s="382">
        <f>YEAR(Table6[[#This Row],[Date]])</f>
        <v>2025</v>
      </c>
      <c r="D872" s="39" t="s">
        <v>490</v>
      </c>
      <c r="E872" s="135">
        <f>Table6[[#This Row],[Date]]-DAY(Table6[[#This Row],[Date]])+1</f>
        <v>45809</v>
      </c>
      <c r="F872" s="383">
        <v>45834</v>
      </c>
      <c r="G872" s="121" t="s">
        <v>131</v>
      </c>
      <c r="H872" s="39" t="str">
        <f>_xlfn.XLOOKUP(Table6[[#This Row],[Affected WTG]],'Basic Data'!$A:$A,'Basic Data'!$B:$B)</f>
        <v>PWEGPL</v>
      </c>
      <c r="I872" s="39" t="str">
        <f>_xlfn.XLOOKUP(Table6[[#This Row],[Affected WTG]],'Basic Data'!$A:$A,'Basic Data'!$C:$C)</f>
        <v>MSEDCL</v>
      </c>
      <c r="J872" s="385">
        <f>IFERROR(VLOOKUP(Table6[[#This Row],[Affected WTG]],'Basic Data'!$A$3:$E$56,5,0),"")</f>
        <v>2.564102564102564E-2</v>
      </c>
      <c r="K872" s="121" t="s">
        <v>492</v>
      </c>
      <c r="L872" s="386" t="str">
        <f>IFERROR(VLOOKUP(Table6[[#This Row],[Error Code]],'Basic Data'!$T:$U,2,0),"")</f>
        <v>Manual Stop - Safety Related</v>
      </c>
      <c r="M872" s="364" t="s">
        <v>462</v>
      </c>
      <c r="N872" s="121"/>
      <c r="O872" s="346">
        <v>0</v>
      </c>
      <c r="P872" s="346">
        <v>0.99998842592592596</v>
      </c>
      <c r="Q872" s="346">
        <v>0.99998842592592596</v>
      </c>
      <c r="R872" s="366">
        <f>IF(Table6[[#This Row],[Work Start TimeStamp]]="","",(Table6[[#This Row],[Work Start TimeStamp]]-Table6[[#This Row],[Fault Start TimeStamp]])*24)</f>
        <v>23.999722222222225</v>
      </c>
      <c r="S872" s="377">
        <f>(Table6[[#This Row],[Fault Clearance time]]-Table6[[#This Row],[Work Start TimeStamp]])*24</f>
        <v>0</v>
      </c>
      <c r="T872" s="380">
        <f>(Table6[[#This Row],[Fault Clearance time]]-Table6[[#This Row],[Fault Start TimeStamp]])*24</f>
        <v>23.999722222222225</v>
      </c>
      <c r="U872" s="364" t="s">
        <v>1247</v>
      </c>
      <c r="V872" s="364" t="s">
        <v>473</v>
      </c>
      <c r="W872" s="356">
        <f>Table6[[#This Row],[Breakdown Time]]*(1/39)</f>
        <v>0.61537749287749288</v>
      </c>
      <c r="X872" s="353" t="s">
        <v>465</v>
      </c>
      <c r="Y872" s="364" t="s">
        <v>132</v>
      </c>
      <c r="Z872" s="15">
        <v>10123</v>
      </c>
      <c r="AA872" s="123">
        <f>IFERROR((Table6[[#This Row],[Paired WTG Generation for loss calculation]]/24)*Table6[[#This Row],[Breakdown Time]],"")</f>
        <v>10122.88283564815</v>
      </c>
      <c r="AB872" s="121" t="s">
        <v>478</v>
      </c>
      <c r="AC872" s="121"/>
      <c r="AD872" s="121"/>
    </row>
    <row r="873" spans="1:30">
      <c r="A873" s="121">
        <f t="shared" si="13"/>
        <v>872</v>
      </c>
      <c r="B873" s="381">
        <f>YEAR(Table6[[#This Row],[Date]])+IF(MONTH(Table6[[#This Row],[Date]])&gt;=4,1,0)</f>
        <v>2026</v>
      </c>
      <c r="C873" s="382">
        <f>YEAR(Table6[[#This Row],[Date]])</f>
        <v>2025</v>
      </c>
      <c r="D873" s="39" t="s">
        <v>490</v>
      </c>
      <c r="E873" s="135">
        <f>Table6[[#This Row],[Date]]-DAY(Table6[[#This Row],[Date]])+1</f>
        <v>45809</v>
      </c>
      <c r="F873" s="383">
        <v>45834</v>
      </c>
      <c r="G873" s="121" t="s">
        <v>127</v>
      </c>
      <c r="H873" s="39" t="str">
        <f>_xlfn.XLOOKUP(Table6[[#This Row],[Affected WTG]],'Basic Data'!$A:$A,'Basic Data'!$B:$B)</f>
        <v>PWEGPL</v>
      </c>
      <c r="I873" s="39" t="str">
        <f>_xlfn.XLOOKUP(Table6[[#This Row],[Affected WTG]],'Basic Data'!$A:$A,'Basic Data'!$C:$C)</f>
        <v>MSEDCL</v>
      </c>
      <c r="J873" s="385">
        <f>IFERROR(VLOOKUP(Table6[[#This Row],[Affected WTG]],'Basic Data'!$A$3:$E$56,5,0),"")</f>
        <v>2.564102564102564E-2</v>
      </c>
      <c r="K873" s="121" t="s">
        <v>466</v>
      </c>
      <c r="L873" s="386" t="str">
        <f>IFERROR(VLOOKUP(Table6[[#This Row],[Error Code]],'Basic Data'!$T:$U,2,0),"")</f>
        <v>Manual Stop</v>
      </c>
      <c r="M873" s="364" t="s">
        <v>479</v>
      </c>
      <c r="N873" s="121"/>
      <c r="O873" s="346">
        <v>0.46041666666666664</v>
      </c>
      <c r="P873" s="346">
        <v>0.46041666666666664</v>
      </c>
      <c r="Q873" s="346">
        <v>0.63541666666666663</v>
      </c>
      <c r="R873" s="366">
        <f>IF(Table6[[#This Row],[Work Start TimeStamp]]="","",(Table6[[#This Row],[Work Start TimeStamp]]-Table6[[#This Row],[Fault Start TimeStamp]])*24)</f>
        <v>0</v>
      </c>
      <c r="S873" s="377">
        <f>(Table6[[#This Row],[Fault Clearance time]]-Table6[[#This Row],[Work Start TimeStamp]])*24</f>
        <v>4.1999999999999993</v>
      </c>
      <c r="T873" s="380">
        <f>(Table6[[#This Row],[Fault Clearance time]]-Table6[[#This Row],[Fault Start TimeStamp]])*24</f>
        <v>4.1999999999999993</v>
      </c>
      <c r="U873" s="364" t="s">
        <v>1304</v>
      </c>
      <c r="V873" s="364" t="s">
        <v>463</v>
      </c>
      <c r="W873" s="356">
        <f>Table6[[#This Row],[Breakdown Time]]*(1/39)</f>
        <v>0.10769230769230767</v>
      </c>
      <c r="X873" s="353" t="s">
        <v>464</v>
      </c>
      <c r="Y873" s="388" t="s">
        <v>126</v>
      </c>
      <c r="Z873" s="15">
        <v>10231</v>
      </c>
      <c r="AA873" s="123">
        <f>IFERROR((Table6[[#This Row],[Paired WTG Generation for loss calculation]]/24)*Table6[[#This Row],[Breakdown Time]],"")</f>
        <v>1790.4249999999997</v>
      </c>
      <c r="AB873" s="121" t="s">
        <v>478</v>
      </c>
      <c r="AC873" s="121"/>
      <c r="AD873" s="121"/>
    </row>
    <row r="874" spans="1:30">
      <c r="A874" s="121">
        <f t="shared" si="13"/>
        <v>873</v>
      </c>
      <c r="B874" s="381">
        <f>YEAR(Table6[[#This Row],[Date]])+IF(MONTH(Table6[[#This Row],[Date]])&gt;=4,1,0)</f>
        <v>2026</v>
      </c>
      <c r="C874" s="382">
        <f>YEAR(Table6[[#This Row],[Date]])</f>
        <v>2025</v>
      </c>
      <c r="D874" s="39" t="s">
        <v>490</v>
      </c>
      <c r="E874" s="135">
        <f>Table6[[#This Row],[Date]]-DAY(Table6[[#This Row],[Date]])+1</f>
        <v>45809</v>
      </c>
      <c r="F874" s="383">
        <v>45834</v>
      </c>
      <c r="G874" s="384" t="s">
        <v>116</v>
      </c>
      <c r="H874" s="39" t="str">
        <f>_xlfn.XLOOKUP(Table6[[#This Row],[Affected WTG]],'Basic Data'!$A:$A,'Basic Data'!$B:$B)</f>
        <v>PWEGPL</v>
      </c>
      <c r="I874" s="39" t="str">
        <f>_xlfn.XLOOKUP(Table6[[#This Row],[Affected WTG]],'Basic Data'!$A:$A,'Basic Data'!$C:$C)</f>
        <v>MSEDCL</v>
      </c>
      <c r="J874" s="385">
        <f>IFERROR(VLOOKUP(Table6[[#This Row],[Affected WTG]],'Basic Data'!$A$3:$E$56,5,0),"")</f>
        <v>2.564102564102564E-2</v>
      </c>
      <c r="K874" s="121">
        <v>700</v>
      </c>
      <c r="L874" s="386" t="str">
        <f>IFERROR(VLOOKUP(Table6[[#This Row],[Error Code]],'Basic Data'!$T:$U,2,0),"")</f>
        <v>PLC-Converter Communication Error</v>
      </c>
      <c r="M874" s="364" t="s">
        <v>462</v>
      </c>
      <c r="N874" s="121"/>
      <c r="O874" s="346">
        <v>0.5854166666666667</v>
      </c>
      <c r="P874" s="346">
        <v>0.59513888888888888</v>
      </c>
      <c r="Q874" s="346">
        <v>0.71875</v>
      </c>
      <c r="R874" s="366">
        <f>IF(Table6[[#This Row],[Work Start TimeStamp]]="","",(Table6[[#This Row],[Work Start TimeStamp]]-Table6[[#This Row],[Fault Start TimeStamp]])*24)</f>
        <v>0.2333333333333325</v>
      </c>
      <c r="S874" s="377">
        <f>(Table6[[#This Row],[Fault Clearance time]]-Table6[[#This Row],[Work Start TimeStamp]])*24</f>
        <v>2.9666666666666668</v>
      </c>
      <c r="T874" s="380">
        <f>(Table6[[#This Row],[Fault Clearance time]]-Table6[[#This Row],[Fault Start TimeStamp]])*24</f>
        <v>3.1999999999999993</v>
      </c>
      <c r="U874" s="364" t="s">
        <v>1302</v>
      </c>
      <c r="V874" s="364" t="s">
        <v>463</v>
      </c>
      <c r="W874" s="356">
        <f>Table6[[#This Row],[Breakdown Time]]*(1/39)</f>
        <v>8.2051282051282023E-2</v>
      </c>
      <c r="X874" s="353" t="s">
        <v>465</v>
      </c>
      <c r="Y874" s="364" t="s">
        <v>118</v>
      </c>
      <c r="Z874" s="15">
        <v>10037</v>
      </c>
      <c r="AA874" s="123">
        <f>IFERROR((Table6[[#This Row],[Paired WTG Generation for loss calculation]]/24)*Table6[[#This Row],[Breakdown Time]],"")</f>
        <v>1338.2666666666662</v>
      </c>
      <c r="AB874" s="121" t="s">
        <v>478</v>
      </c>
      <c r="AC874" s="121"/>
      <c r="AD874" s="121"/>
    </row>
    <row r="875" spans="1:30">
      <c r="A875" s="121">
        <f t="shared" si="13"/>
        <v>874</v>
      </c>
      <c r="B875" s="381">
        <f>YEAR(Table6[[#This Row],[Date]])+IF(MONTH(Table6[[#This Row],[Date]])&gt;=4,1,0)</f>
        <v>2026</v>
      </c>
      <c r="C875" s="382">
        <f>YEAR(Table6[[#This Row],[Date]])</f>
        <v>2025</v>
      </c>
      <c r="D875" s="39" t="s">
        <v>490</v>
      </c>
      <c r="E875" s="135">
        <f>Table6[[#This Row],[Date]]-DAY(Table6[[#This Row],[Date]])+1</f>
        <v>45809</v>
      </c>
      <c r="F875" s="383">
        <v>45834</v>
      </c>
      <c r="G875" s="384" t="s">
        <v>117</v>
      </c>
      <c r="H875" s="39" t="str">
        <f>_xlfn.XLOOKUP(Table6[[#This Row],[Affected WTG]],'Basic Data'!$A:$A,'Basic Data'!$B:$B)</f>
        <v>PWEGPL</v>
      </c>
      <c r="I875" s="39" t="str">
        <f>_xlfn.XLOOKUP(Table6[[#This Row],[Affected WTG]],'Basic Data'!$A:$A,'Basic Data'!$C:$C)</f>
        <v>MSEDCL</v>
      </c>
      <c r="J875" s="385">
        <f>IFERROR(VLOOKUP(Table6[[#This Row],[Affected WTG]],'Basic Data'!$A$3:$E$56,5,0),"")</f>
        <v>2.564102564102564E-2</v>
      </c>
      <c r="K875" s="121" t="s">
        <v>466</v>
      </c>
      <c r="L875" s="386" t="str">
        <f>IFERROR(VLOOKUP(Table6[[#This Row],[Error Code]],'Basic Data'!$T:$U,2,0),"")</f>
        <v>Manual Stop</v>
      </c>
      <c r="M875" s="364" t="s">
        <v>479</v>
      </c>
      <c r="N875" s="121"/>
      <c r="O875" s="346">
        <v>0.54027777777777775</v>
      </c>
      <c r="P875" s="346">
        <v>0.54027777777777775</v>
      </c>
      <c r="Q875" s="346">
        <v>0.57291666666666663</v>
      </c>
      <c r="R875" s="366">
        <f>IF(Table6[[#This Row],[Work Start TimeStamp]]="","",(Table6[[#This Row],[Work Start TimeStamp]]-Table6[[#This Row],[Fault Start TimeStamp]])*24)</f>
        <v>0</v>
      </c>
      <c r="S875" s="377">
        <f>(Table6[[#This Row],[Fault Clearance time]]-Table6[[#This Row],[Work Start TimeStamp]])*24</f>
        <v>0.78333333333333321</v>
      </c>
      <c r="T875" s="380">
        <f>(Table6[[#This Row],[Fault Clearance time]]-Table6[[#This Row],[Fault Start TimeStamp]])*24</f>
        <v>0.78333333333333321</v>
      </c>
      <c r="U875" s="364" t="s">
        <v>1309</v>
      </c>
      <c r="V875" s="364" t="s">
        <v>463</v>
      </c>
      <c r="W875" s="356">
        <f>Table6[[#This Row],[Breakdown Time]]*(1/39)</f>
        <v>2.008547008547008E-2</v>
      </c>
      <c r="X875" s="353" t="s">
        <v>464</v>
      </c>
      <c r="Y875" s="364" t="s">
        <v>118</v>
      </c>
      <c r="Z875" s="15">
        <v>10037</v>
      </c>
      <c r="AA875" s="123">
        <f>IFERROR((Table6[[#This Row],[Paired WTG Generation for loss calculation]]/24)*Table6[[#This Row],[Breakdown Time]],"")</f>
        <v>327.59652777777774</v>
      </c>
      <c r="AB875" s="121" t="s">
        <v>478</v>
      </c>
      <c r="AC875" s="121"/>
      <c r="AD875" s="121"/>
    </row>
    <row r="876" spans="1:30">
      <c r="A876" s="121">
        <f t="shared" si="13"/>
        <v>875</v>
      </c>
      <c r="B876" s="381">
        <f>YEAR(Table6[[#This Row],[Date]])+IF(MONTH(Table6[[#This Row],[Date]])&gt;=4,1,0)</f>
        <v>2026</v>
      </c>
      <c r="C876" s="382">
        <f>YEAR(Table6[[#This Row],[Date]])</f>
        <v>2025</v>
      </c>
      <c r="D876" s="39" t="s">
        <v>490</v>
      </c>
      <c r="E876" s="135">
        <f>Table6[[#This Row],[Date]]-DAY(Table6[[#This Row],[Date]])+1</f>
        <v>45809</v>
      </c>
      <c r="F876" s="383">
        <v>45834</v>
      </c>
      <c r="G876" s="384" t="s">
        <v>150</v>
      </c>
      <c r="H876" s="39" t="str">
        <f>_xlfn.XLOOKUP(Table6[[#This Row],[Affected WTG]],'Basic Data'!$A:$A,'Basic Data'!$B:$B)</f>
        <v>PWEGPL</v>
      </c>
      <c r="I876" s="39" t="str">
        <f>_xlfn.XLOOKUP(Table6[[#This Row],[Affected WTG]],'Basic Data'!$A:$A,'Basic Data'!$C:$C)</f>
        <v>MSEDCL</v>
      </c>
      <c r="J876" s="385">
        <f>IFERROR(VLOOKUP(Table6[[#This Row],[Affected WTG]],'Basic Data'!$A$3:$E$56,5,0),"")</f>
        <v>2.564102564102564E-2</v>
      </c>
      <c r="K876" s="121">
        <v>402</v>
      </c>
      <c r="L876" s="386" t="str">
        <f>IFERROR(VLOOKUP(Table6[[#This Row],[Error Code]],'Basic Data'!$T:$U,2,0),"")</f>
        <v>Gearbox Oil Level Low</v>
      </c>
      <c r="M876" s="364" t="s">
        <v>462</v>
      </c>
      <c r="N876" s="121"/>
      <c r="O876" s="346">
        <v>0.70694444444444449</v>
      </c>
      <c r="P876" s="346">
        <v>0.72361111111111109</v>
      </c>
      <c r="Q876" s="346">
        <v>0.79166666666666663</v>
      </c>
      <c r="R876" s="366">
        <f>IF(Table6[[#This Row],[Work Start TimeStamp]]="","",(Table6[[#This Row],[Work Start TimeStamp]]-Table6[[#This Row],[Fault Start TimeStamp]])*24)</f>
        <v>0.39999999999999858</v>
      </c>
      <c r="S876" s="377">
        <f>(Table6[[#This Row],[Fault Clearance time]]-Table6[[#This Row],[Work Start TimeStamp]])*24</f>
        <v>1.6333333333333329</v>
      </c>
      <c r="T876" s="380">
        <f>(Table6[[#This Row],[Fault Clearance time]]-Table6[[#This Row],[Fault Start TimeStamp]])*24</f>
        <v>2.0333333333333314</v>
      </c>
      <c r="U876" s="364" t="s">
        <v>1303</v>
      </c>
      <c r="V876" s="364" t="s">
        <v>463</v>
      </c>
      <c r="W876" s="356">
        <f>Table6[[#This Row],[Breakdown Time]]*(1/39)</f>
        <v>5.2136752136752083E-2</v>
      </c>
      <c r="X876" s="353" t="s">
        <v>465</v>
      </c>
      <c r="Y876" s="364" t="s">
        <v>149</v>
      </c>
      <c r="Z876" s="15">
        <v>10493</v>
      </c>
      <c r="AA876" s="123">
        <f>IFERROR((Table6[[#This Row],[Paired WTG Generation for loss calculation]]/24)*Table6[[#This Row],[Breakdown Time]],"")</f>
        <v>888.9902777777769</v>
      </c>
      <c r="AB876" s="121" t="s">
        <v>478</v>
      </c>
      <c r="AC876" s="121"/>
      <c r="AD876" s="121"/>
    </row>
    <row r="877" spans="1:30">
      <c r="A877" s="121">
        <f t="shared" si="13"/>
        <v>876</v>
      </c>
      <c r="B877" s="381">
        <f>YEAR(Table6[[#This Row],[Date]])+IF(MONTH(Table6[[#This Row],[Date]])&gt;=4,1,0)</f>
        <v>2026</v>
      </c>
      <c r="C877" s="382">
        <f>YEAR(Table6[[#This Row],[Date]])</f>
        <v>2025</v>
      </c>
      <c r="D877" s="39" t="s">
        <v>490</v>
      </c>
      <c r="E877" s="135">
        <f>Table6[[#This Row],[Date]]-DAY(Table6[[#This Row],[Date]])+1</f>
        <v>45809</v>
      </c>
      <c r="F877" s="383">
        <v>45834</v>
      </c>
      <c r="G877" s="384" t="s">
        <v>141</v>
      </c>
      <c r="H877" s="39" t="str">
        <f>_xlfn.XLOOKUP(Table6[[#This Row],[Affected WTG]],'Basic Data'!$A:$A,'Basic Data'!$B:$B)</f>
        <v>PWEGPL</v>
      </c>
      <c r="I877" s="39" t="str">
        <f>_xlfn.XLOOKUP(Table6[[#This Row],[Affected WTG]],'Basic Data'!$A:$A,'Basic Data'!$C:$C)</f>
        <v>MSEDCL</v>
      </c>
      <c r="J877" s="385">
        <f>IFERROR(VLOOKUP(Table6[[#This Row],[Affected WTG]],'Basic Data'!$A$3:$E$56,5,0),"")</f>
        <v>2.564102564102564E-2</v>
      </c>
      <c r="K877" s="121">
        <v>907</v>
      </c>
      <c r="L877" s="386" t="str">
        <f>IFERROR(VLOOKUP(Table6[[#This Row],[Error Code]],'Basic Data'!$T:$U,2,0),"")</f>
        <v>Emergency Series HUB Trigger</v>
      </c>
      <c r="M877" s="364" t="s">
        <v>462</v>
      </c>
      <c r="N877" s="121"/>
      <c r="O877" s="346">
        <v>0.69930555555555551</v>
      </c>
      <c r="P877" s="346">
        <v>0.71736111111111112</v>
      </c>
      <c r="Q877" s="346">
        <v>0.85902777777777772</v>
      </c>
      <c r="R877" s="366">
        <f>IF(Table6[[#This Row],[Work Start TimeStamp]]="","",(Table6[[#This Row],[Work Start TimeStamp]]-Table6[[#This Row],[Fault Start TimeStamp]])*24)</f>
        <v>0.43333333333333446</v>
      </c>
      <c r="S877" s="377">
        <f>(Table6[[#This Row],[Fault Clearance time]]-Table6[[#This Row],[Work Start TimeStamp]])*24</f>
        <v>3.3999999999999986</v>
      </c>
      <c r="T877" s="380">
        <f>(Table6[[#This Row],[Fault Clearance time]]-Table6[[#This Row],[Fault Start TimeStamp]])*24</f>
        <v>3.833333333333333</v>
      </c>
      <c r="U877" s="364" t="s">
        <v>1310</v>
      </c>
      <c r="V877" s="364" t="s">
        <v>463</v>
      </c>
      <c r="W877" s="356">
        <f>Table6[[#This Row],[Breakdown Time]]*(1/39)</f>
        <v>9.8290598290598274E-2</v>
      </c>
      <c r="X877" s="353" t="s">
        <v>465</v>
      </c>
      <c r="Y877" s="364" t="s">
        <v>143</v>
      </c>
      <c r="Z877" s="15">
        <v>10021</v>
      </c>
      <c r="AA877" s="123">
        <f>IFERROR((Table6[[#This Row],[Paired WTG Generation for loss calculation]]/24)*Table6[[#This Row],[Breakdown Time]],"")</f>
        <v>1600.5763888888889</v>
      </c>
      <c r="AB877" s="121" t="s">
        <v>478</v>
      </c>
      <c r="AC877" s="121"/>
      <c r="AD877" s="121"/>
    </row>
    <row r="878" spans="1:30">
      <c r="A878" s="121">
        <f t="shared" si="13"/>
        <v>877</v>
      </c>
      <c r="B878" s="381">
        <f>YEAR(Table6[[#This Row],[Date]])+IF(MONTH(Table6[[#This Row],[Date]])&gt;=4,1,0)</f>
        <v>2026</v>
      </c>
      <c r="C878" s="382">
        <f>YEAR(Table6[[#This Row],[Date]])</f>
        <v>2025</v>
      </c>
      <c r="D878" s="39" t="s">
        <v>490</v>
      </c>
      <c r="E878" s="135">
        <f>Table6[[#This Row],[Date]]-DAY(Table6[[#This Row],[Date]])+1</f>
        <v>45809</v>
      </c>
      <c r="F878" s="383">
        <v>45834</v>
      </c>
      <c r="G878" s="384" t="s">
        <v>117</v>
      </c>
      <c r="H878" s="39" t="str">
        <f>_xlfn.XLOOKUP(Table6[[#This Row],[Affected WTG]],'Basic Data'!$A:$A,'Basic Data'!$B:$B)</f>
        <v>PWEGPL</v>
      </c>
      <c r="I878" s="39" t="str">
        <f>_xlfn.XLOOKUP(Table6[[#This Row],[Affected WTG]],'Basic Data'!$A:$A,'Basic Data'!$C:$C)</f>
        <v>MSEDCL</v>
      </c>
      <c r="J878" s="385">
        <f>IFERROR(VLOOKUP(Table6[[#This Row],[Affected WTG]],'Basic Data'!$A$3:$E$56,5,0),"")</f>
        <v>2.564102564102564E-2</v>
      </c>
      <c r="K878" s="121" t="s">
        <v>477</v>
      </c>
      <c r="L878" s="386" t="str">
        <f>IFERROR(VLOOKUP(Table6[[#This Row],[Error Code]],'Basic Data'!$T:$U,2,0),"")</f>
        <v>Manual Stop - Audit</v>
      </c>
      <c r="M878" s="364" t="s">
        <v>507</v>
      </c>
      <c r="N878" s="121"/>
      <c r="O878" s="346">
        <v>0.57291666666666663</v>
      </c>
      <c r="P878" s="346">
        <v>0.57291666666666663</v>
      </c>
      <c r="Q878" s="346">
        <v>0.60416666666666663</v>
      </c>
      <c r="R878" s="366">
        <f>IF(Table6[[#This Row],[Work Start TimeStamp]]="","",(Table6[[#This Row],[Work Start TimeStamp]]-Table6[[#This Row],[Fault Start TimeStamp]])*24)</f>
        <v>0</v>
      </c>
      <c r="S878" s="377">
        <f>(Table6[[#This Row],[Fault Clearance time]]-Table6[[#This Row],[Work Start TimeStamp]])*24</f>
        <v>0.75</v>
      </c>
      <c r="T878" s="380">
        <f>(Table6[[#This Row],[Fault Clearance time]]-Table6[[#This Row],[Fault Start TimeStamp]])*24</f>
        <v>0.75</v>
      </c>
      <c r="U878" s="364" t="s">
        <v>1308</v>
      </c>
      <c r="V878" s="364" t="s">
        <v>463</v>
      </c>
      <c r="W878" s="356">
        <f>Table6[[#This Row],[Breakdown Time]]*(1/39)</f>
        <v>1.9230769230769232E-2</v>
      </c>
      <c r="X878" s="353" t="s">
        <v>464</v>
      </c>
      <c r="Y878" s="364" t="s">
        <v>118</v>
      </c>
      <c r="Z878" s="15">
        <v>10037</v>
      </c>
      <c r="AA878" s="123">
        <f>IFERROR((Table6[[#This Row],[Paired WTG Generation for loss calculation]]/24)*Table6[[#This Row],[Breakdown Time]],"")</f>
        <v>313.65625</v>
      </c>
      <c r="AB878" s="121" t="s">
        <v>478</v>
      </c>
      <c r="AC878" s="121"/>
      <c r="AD878" s="121"/>
    </row>
    <row r="879" spans="1:30">
      <c r="A879" s="121">
        <f t="shared" si="13"/>
        <v>878</v>
      </c>
      <c r="B879" s="381">
        <f>YEAR(Table6[[#This Row],[Date]])+IF(MONTH(Table6[[#This Row],[Date]])&gt;=4,1,0)</f>
        <v>2026</v>
      </c>
      <c r="C879" s="382">
        <f>YEAR(Table6[[#This Row],[Date]])</f>
        <v>2025</v>
      </c>
      <c r="D879" s="39" t="s">
        <v>490</v>
      </c>
      <c r="E879" s="135">
        <f>Table6[[#This Row],[Date]]-DAY(Table6[[#This Row],[Date]])+1</f>
        <v>45809</v>
      </c>
      <c r="F879" s="383">
        <v>45835</v>
      </c>
      <c r="G879" s="384" t="s">
        <v>144</v>
      </c>
      <c r="H879" s="39" t="str">
        <f>_xlfn.XLOOKUP(Table6[[#This Row],[Affected WTG]],'Basic Data'!$A:$A,'Basic Data'!$B:$B)</f>
        <v>PWEGPL</v>
      </c>
      <c r="I879" s="39" t="str">
        <f>_xlfn.XLOOKUP(Table6[[#This Row],[Affected WTG]],'Basic Data'!$A:$A,'Basic Data'!$C:$C)</f>
        <v>MSEDCL</v>
      </c>
      <c r="J879" s="385">
        <f>IFERROR(VLOOKUP(Table6[[#This Row],[Affected WTG]],'Basic Data'!$A$3:$E$56,5,0),"")</f>
        <v>2.564102564102564E-2</v>
      </c>
      <c r="K879" s="121" t="s">
        <v>492</v>
      </c>
      <c r="L879" s="386" t="str">
        <f>IFERROR(VLOOKUP(Table6[[#This Row],[Error Code]],'Basic Data'!$T:$U,2,0),"")</f>
        <v>Manual Stop - Safety Related</v>
      </c>
      <c r="M879" s="364" t="s">
        <v>481</v>
      </c>
      <c r="N879" s="121"/>
      <c r="O879" s="346">
        <v>0</v>
      </c>
      <c r="P879" s="346">
        <v>0.99998842592592596</v>
      </c>
      <c r="Q879" s="346">
        <v>0.99998842592592596</v>
      </c>
      <c r="R879" s="366">
        <f>IF(Table6[[#This Row],[Work Start TimeStamp]]="","",(Table6[[#This Row],[Work Start TimeStamp]]-Table6[[#This Row],[Fault Start TimeStamp]])*24)</f>
        <v>23.999722222222225</v>
      </c>
      <c r="S879" s="377">
        <f>(Table6[[#This Row],[Fault Clearance time]]-Table6[[#This Row],[Work Start TimeStamp]])*24</f>
        <v>0</v>
      </c>
      <c r="T879" s="380">
        <f>(Table6[[#This Row],[Fault Clearance time]]-Table6[[#This Row],[Fault Start TimeStamp]])*24</f>
        <v>23.999722222222225</v>
      </c>
      <c r="U879" s="364" t="s">
        <v>498</v>
      </c>
      <c r="V879" s="364" t="s">
        <v>473</v>
      </c>
      <c r="W879" s="356">
        <f>Table6[[#This Row],[Breakdown Time]]*(1/39)</f>
        <v>0.61537749287749288</v>
      </c>
      <c r="X879" s="353" t="s">
        <v>1212</v>
      </c>
      <c r="Y879" s="39" t="s">
        <v>143</v>
      </c>
      <c r="Z879" s="15">
        <v>16041</v>
      </c>
      <c r="AA879" s="123">
        <f>IFERROR((Table6[[#This Row],[Paired WTG Generation for loss calculation]]/24)*Table6[[#This Row],[Breakdown Time]],"")</f>
        <v>16040.814340277779</v>
      </c>
      <c r="AB879" s="121" t="s">
        <v>478</v>
      </c>
      <c r="AC879" s="121"/>
      <c r="AD879" s="121"/>
    </row>
    <row r="880" spans="1:30">
      <c r="A880" s="121">
        <f t="shared" si="13"/>
        <v>879</v>
      </c>
      <c r="B880" s="381">
        <f>YEAR(Table6[[#This Row],[Date]])+IF(MONTH(Table6[[#This Row],[Date]])&gt;=4,1,0)</f>
        <v>2026</v>
      </c>
      <c r="C880" s="382">
        <f>YEAR(Table6[[#This Row],[Date]])</f>
        <v>2025</v>
      </c>
      <c r="D880" s="39" t="s">
        <v>490</v>
      </c>
      <c r="E880" s="135">
        <f>Table6[[#This Row],[Date]]-DAY(Table6[[#This Row],[Date]])+1</f>
        <v>45809</v>
      </c>
      <c r="F880" s="383">
        <v>45835</v>
      </c>
      <c r="G880" s="121" t="s">
        <v>142</v>
      </c>
      <c r="H880" s="39" t="str">
        <f>_xlfn.XLOOKUP(Table6[[#This Row],[Affected WTG]],'Basic Data'!$A:$A,'Basic Data'!$B:$B)</f>
        <v>PWEGPL</v>
      </c>
      <c r="I880" s="39" t="str">
        <f>_xlfn.XLOOKUP(Table6[[#This Row],[Affected WTG]],'Basic Data'!$A:$A,'Basic Data'!$C:$C)</f>
        <v>MSEDCL</v>
      </c>
      <c r="J880" s="385">
        <f>IFERROR(VLOOKUP(Table6[[#This Row],[Affected WTG]],'Basic Data'!$A$3:$E$56,5,0),"")</f>
        <v>2.564102564102564E-2</v>
      </c>
      <c r="K880" s="121" t="s">
        <v>492</v>
      </c>
      <c r="L880" s="386" t="str">
        <f>IFERROR(VLOOKUP(Table6[[#This Row],[Error Code]],'Basic Data'!$T:$U,2,0),"")</f>
        <v>Manual Stop - Safety Related</v>
      </c>
      <c r="M880" s="364" t="s">
        <v>481</v>
      </c>
      <c r="N880" s="121"/>
      <c r="O880" s="346">
        <v>0</v>
      </c>
      <c r="P880" s="346">
        <v>0.99998842592592596</v>
      </c>
      <c r="Q880" s="346">
        <v>0.99998842592592596</v>
      </c>
      <c r="R880" s="366">
        <f>IF(Table6[[#This Row],[Work Start TimeStamp]]="","",(Table6[[#This Row],[Work Start TimeStamp]]-Table6[[#This Row],[Fault Start TimeStamp]])*24)</f>
        <v>23.999722222222225</v>
      </c>
      <c r="S880" s="377">
        <f>(Table6[[#This Row],[Fault Clearance time]]-Table6[[#This Row],[Work Start TimeStamp]])*24</f>
        <v>0</v>
      </c>
      <c r="T880" s="380">
        <f>(Table6[[#This Row],[Fault Clearance time]]-Table6[[#This Row],[Fault Start TimeStamp]])*24</f>
        <v>23.999722222222225</v>
      </c>
      <c r="U880" s="364" t="s">
        <v>498</v>
      </c>
      <c r="V880" s="364" t="s">
        <v>473</v>
      </c>
      <c r="W880" s="356">
        <f>Table6[[#This Row],[Breakdown Time]]*(1/39)</f>
        <v>0.61537749287749288</v>
      </c>
      <c r="X880" s="353" t="s">
        <v>1212</v>
      </c>
      <c r="Y880" s="39" t="s">
        <v>143</v>
      </c>
      <c r="Z880" s="15">
        <v>16041</v>
      </c>
      <c r="AA880" s="123">
        <f>IFERROR((Table6[[#This Row],[Paired WTG Generation for loss calculation]]/24)*Table6[[#This Row],[Breakdown Time]],"")</f>
        <v>16040.814340277779</v>
      </c>
      <c r="AB880" s="121" t="s">
        <v>478</v>
      </c>
      <c r="AC880" s="121"/>
      <c r="AD880" s="121"/>
    </row>
    <row r="881" spans="1:30">
      <c r="A881" s="121">
        <f t="shared" si="13"/>
        <v>880</v>
      </c>
      <c r="B881" s="381">
        <f>YEAR(Table6[[#This Row],[Date]])+IF(MONTH(Table6[[#This Row],[Date]])&gt;=4,1,0)</f>
        <v>2026</v>
      </c>
      <c r="C881" s="382">
        <f>YEAR(Table6[[#This Row],[Date]])</f>
        <v>2025</v>
      </c>
      <c r="D881" s="39" t="s">
        <v>490</v>
      </c>
      <c r="E881" s="135">
        <f>Table6[[#This Row],[Date]]-DAY(Table6[[#This Row],[Date]])+1</f>
        <v>45809</v>
      </c>
      <c r="F881" s="383">
        <v>45835</v>
      </c>
      <c r="G881" s="121" t="s">
        <v>131</v>
      </c>
      <c r="H881" s="39" t="str">
        <f>_xlfn.XLOOKUP(Table6[[#This Row],[Affected WTG]],'Basic Data'!$A:$A,'Basic Data'!$B:$B)</f>
        <v>PWEGPL</v>
      </c>
      <c r="I881" s="39" t="str">
        <f>_xlfn.XLOOKUP(Table6[[#This Row],[Affected WTG]],'Basic Data'!$A:$A,'Basic Data'!$C:$C)</f>
        <v>MSEDCL</v>
      </c>
      <c r="J881" s="385">
        <f>IFERROR(VLOOKUP(Table6[[#This Row],[Affected WTG]],'Basic Data'!$A$3:$E$56,5,0),"")</f>
        <v>2.564102564102564E-2</v>
      </c>
      <c r="K881" s="121" t="s">
        <v>492</v>
      </c>
      <c r="L881" s="386" t="str">
        <f>IFERROR(VLOOKUP(Table6[[#This Row],[Error Code]],'Basic Data'!$T:$U,2,0),"")</f>
        <v>Manual Stop - Safety Related</v>
      </c>
      <c r="M881" s="364" t="s">
        <v>462</v>
      </c>
      <c r="N881" s="121"/>
      <c r="O881" s="346">
        <v>0</v>
      </c>
      <c r="P881" s="346">
        <v>0.99998842592592596</v>
      </c>
      <c r="Q881" s="346">
        <v>0.99998842592592596</v>
      </c>
      <c r="R881" s="366">
        <f>IF(Table6[[#This Row],[Work Start TimeStamp]]="","",(Table6[[#This Row],[Work Start TimeStamp]]-Table6[[#This Row],[Fault Start TimeStamp]])*24)</f>
        <v>23.999722222222225</v>
      </c>
      <c r="S881" s="377">
        <f>(Table6[[#This Row],[Fault Clearance time]]-Table6[[#This Row],[Work Start TimeStamp]])*24</f>
        <v>0</v>
      </c>
      <c r="T881" s="380">
        <f>(Table6[[#This Row],[Fault Clearance time]]-Table6[[#This Row],[Fault Start TimeStamp]])*24</f>
        <v>23.999722222222225</v>
      </c>
      <c r="U881" s="364" t="s">
        <v>1247</v>
      </c>
      <c r="V881" s="364" t="s">
        <v>473</v>
      </c>
      <c r="W881" s="356">
        <f>Table6[[#This Row],[Breakdown Time]]*(1/39)</f>
        <v>0.61537749287749288</v>
      </c>
      <c r="X881" s="353" t="s">
        <v>465</v>
      </c>
      <c r="Y881" s="364" t="s">
        <v>132</v>
      </c>
      <c r="Z881" s="15">
        <v>16043</v>
      </c>
      <c r="AA881" s="123">
        <f>IFERROR((Table6[[#This Row],[Paired WTG Generation for loss calculation]]/24)*Table6[[#This Row],[Breakdown Time]],"")</f>
        <v>16042.814317129632</v>
      </c>
      <c r="AB881" s="121" t="s">
        <v>478</v>
      </c>
      <c r="AC881" s="121"/>
      <c r="AD881" s="121"/>
    </row>
    <row r="882" spans="1:30">
      <c r="A882" s="121">
        <f t="shared" si="13"/>
        <v>881</v>
      </c>
      <c r="B882" s="381">
        <f>YEAR(Table6[[#This Row],[Date]])+IF(MONTH(Table6[[#This Row],[Date]])&gt;=4,1,0)</f>
        <v>2026</v>
      </c>
      <c r="C882" s="382">
        <f>YEAR(Table6[[#This Row],[Date]])</f>
        <v>2025</v>
      </c>
      <c r="D882" s="39" t="s">
        <v>490</v>
      </c>
      <c r="E882" s="135">
        <f>Table6[[#This Row],[Date]]-DAY(Table6[[#This Row],[Date]])+1</f>
        <v>45809</v>
      </c>
      <c r="F882" s="383">
        <v>45835</v>
      </c>
      <c r="G882" s="384" t="s">
        <v>115</v>
      </c>
      <c r="H882" s="39" t="str">
        <f>_xlfn.XLOOKUP(Table6[[#This Row],[Affected WTG]],'Basic Data'!$A:$A,'Basic Data'!$B:$B)</f>
        <v>PWEGPL</v>
      </c>
      <c r="I882" s="39" t="str">
        <f>_xlfn.XLOOKUP(Table6[[#This Row],[Affected WTG]],'Basic Data'!$A:$A,'Basic Data'!$C:$C)</f>
        <v>MSEDCL</v>
      </c>
      <c r="J882" s="385">
        <f>IFERROR(VLOOKUP(Table6[[#This Row],[Affected WTG]],'Basic Data'!$A$3:$E$56,5,0),"")</f>
        <v>2.564102564102564E-2</v>
      </c>
      <c r="K882" s="121">
        <v>401</v>
      </c>
      <c r="L882" s="386" t="str">
        <f>IFERROR(VLOOKUP(Table6[[#This Row],[Error Code]],'Basic Data'!$T:$U,2,0),"")</f>
        <v>Low Pressure In Gearbox</v>
      </c>
      <c r="M882" s="364" t="s">
        <v>462</v>
      </c>
      <c r="N882" s="121"/>
      <c r="O882" s="346">
        <v>0.44791666666666669</v>
      </c>
      <c r="P882" s="346">
        <v>0.46458333333333335</v>
      </c>
      <c r="Q882" s="346">
        <v>0.51111111111111107</v>
      </c>
      <c r="R882" s="366">
        <f>IF(Table6[[#This Row],[Work Start TimeStamp]]="","",(Table6[[#This Row],[Work Start TimeStamp]]-Table6[[#This Row],[Fault Start TimeStamp]])*24)</f>
        <v>0.39999999999999991</v>
      </c>
      <c r="S882" s="377">
        <f>(Table6[[#This Row],[Fault Clearance time]]-Table6[[#This Row],[Work Start TimeStamp]])*24</f>
        <v>1.1166666666666654</v>
      </c>
      <c r="T882" s="380">
        <f>(Table6[[#This Row],[Fault Clearance time]]-Table6[[#This Row],[Fault Start TimeStamp]])*24</f>
        <v>1.5166666666666653</v>
      </c>
      <c r="U882" s="364" t="s">
        <v>1311</v>
      </c>
      <c r="V882" s="364" t="s">
        <v>463</v>
      </c>
      <c r="W882" s="356">
        <f>Table6[[#This Row],[Breakdown Time]]*(1/39)</f>
        <v>3.8888888888888855E-2</v>
      </c>
      <c r="X882" s="353" t="s">
        <v>465</v>
      </c>
      <c r="Y882" s="364" t="s">
        <v>121</v>
      </c>
      <c r="Z882" s="15">
        <v>16015</v>
      </c>
      <c r="AA882" s="123">
        <f>IFERROR((Table6[[#This Row],[Paired WTG Generation for loss calculation]]/24)*Table6[[#This Row],[Breakdown Time]],"")</f>
        <v>1012.0590277777768</v>
      </c>
      <c r="AB882" s="121" t="s">
        <v>478</v>
      </c>
      <c r="AC882" s="121"/>
      <c r="AD882" s="121"/>
    </row>
    <row r="883" spans="1:30">
      <c r="A883" s="121">
        <f t="shared" si="13"/>
        <v>882</v>
      </c>
      <c r="B883" s="381">
        <f>YEAR(Table6[[#This Row],[Date]])+IF(MONTH(Table6[[#This Row],[Date]])&gt;=4,1,0)</f>
        <v>2026</v>
      </c>
      <c r="C883" s="382">
        <f>YEAR(Table6[[#This Row],[Date]])</f>
        <v>2025</v>
      </c>
      <c r="D883" s="39" t="s">
        <v>490</v>
      </c>
      <c r="E883" s="135">
        <f>Table6[[#This Row],[Date]]-DAY(Table6[[#This Row],[Date]])+1</f>
        <v>45809</v>
      </c>
      <c r="F883" s="383">
        <v>45835</v>
      </c>
      <c r="G883" s="384" t="s">
        <v>141</v>
      </c>
      <c r="H883" s="39" t="str">
        <f>_xlfn.XLOOKUP(Table6[[#This Row],[Affected WTG]],'Basic Data'!$A:$A,'Basic Data'!$B:$B)</f>
        <v>PWEGPL</v>
      </c>
      <c r="I883" s="39" t="str">
        <f>_xlfn.XLOOKUP(Table6[[#This Row],[Affected WTG]],'Basic Data'!$A:$A,'Basic Data'!$C:$C)</f>
        <v>MSEDCL</v>
      </c>
      <c r="J883" s="389">
        <f>IFERROR(VLOOKUP(Table6[[#This Row],[Affected WTG]],'Basic Data'!$A$3:$E$56,5,0),"")</f>
        <v>2.564102564102564E-2</v>
      </c>
      <c r="K883" s="121">
        <v>203</v>
      </c>
      <c r="L883" s="386" t="str">
        <f>IFERROR(VLOOKUP(Table6[[#This Row],[Error Code]],'Basic Data'!$T:$U,2,0),"")</f>
        <v>Low Pressure On Hydraulic Group</v>
      </c>
      <c r="M883" s="364" t="s">
        <v>462</v>
      </c>
      <c r="N883" s="121"/>
      <c r="O883" s="346">
        <v>0.38541666666666669</v>
      </c>
      <c r="P883" s="346">
        <v>0.45624999999999999</v>
      </c>
      <c r="Q883" s="346">
        <v>0.875</v>
      </c>
      <c r="R883" s="366">
        <f>IF(Table6[[#This Row],[Work Start TimeStamp]]="","",(Table6[[#This Row],[Work Start TimeStamp]]-Table6[[#This Row],[Fault Start TimeStamp]])*24)</f>
        <v>1.6999999999999993</v>
      </c>
      <c r="S883" s="377">
        <f>(Table6[[#This Row],[Fault Clearance time]]-Table6[[#This Row],[Work Start TimeStamp]])*24</f>
        <v>10.050000000000001</v>
      </c>
      <c r="T883" s="380">
        <f>(Table6[[#This Row],[Fault Clearance time]]-Table6[[#This Row],[Fault Start TimeStamp]])*24</f>
        <v>11.75</v>
      </c>
      <c r="U883" s="364" t="s">
        <v>1312</v>
      </c>
      <c r="V883" s="364" t="s">
        <v>463</v>
      </c>
      <c r="W883" s="356">
        <f>Table6[[#This Row],[Breakdown Time]]*(1/39)</f>
        <v>0.30128205128205127</v>
      </c>
      <c r="X883" s="353" t="s">
        <v>465</v>
      </c>
      <c r="Y883" s="364" t="s">
        <v>143</v>
      </c>
      <c r="Z883" s="15">
        <v>16041</v>
      </c>
      <c r="AA883" s="123">
        <f>IFERROR((Table6[[#This Row],[Paired WTG Generation for loss calculation]]/24)*Table6[[#This Row],[Breakdown Time]],"")</f>
        <v>7853.40625</v>
      </c>
      <c r="AB883" s="121" t="s">
        <v>478</v>
      </c>
      <c r="AC883" s="121"/>
      <c r="AD883" s="121"/>
    </row>
    <row r="884" spans="1:30">
      <c r="A884" s="121">
        <f t="shared" si="13"/>
        <v>883</v>
      </c>
      <c r="B884" s="381">
        <f>YEAR(Table6[[#This Row],[Date]])+IF(MONTH(Table6[[#This Row],[Date]])&gt;=4,1,0)</f>
        <v>2026</v>
      </c>
      <c r="C884" s="382">
        <f>YEAR(Table6[[#This Row],[Date]])</f>
        <v>2025</v>
      </c>
      <c r="D884" s="39" t="s">
        <v>490</v>
      </c>
      <c r="E884" s="135">
        <f>Table6[[#This Row],[Date]]-DAY(Table6[[#This Row],[Date]])+1</f>
        <v>45809</v>
      </c>
      <c r="F884" s="383">
        <v>45836</v>
      </c>
      <c r="G884" s="384" t="s">
        <v>144</v>
      </c>
      <c r="H884" s="39" t="str">
        <f>_xlfn.XLOOKUP(Table6[[#This Row],[Affected WTG]],'Basic Data'!$A:$A,'Basic Data'!$B:$B)</f>
        <v>PWEGPL</v>
      </c>
      <c r="I884" s="39" t="str">
        <f>_xlfn.XLOOKUP(Table6[[#This Row],[Affected WTG]],'Basic Data'!$A:$A,'Basic Data'!$C:$C)</f>
        <v>MSEDCL</v>
      </c>
      <c r="J884" s="389">
        <f>IFERROR(VLOOKUP(Table6[[#This Row],[Affected WTG]],'Basic Data'!$A$3:$E$56,5,0),"")</f>
        <v>2.564102564102564E-2</v>
      </c>
      <c r="K884" s="121" t="s">
        <v>492</v>
      </c>
      <c r="L884" s="386" t="str">
        <f>IFERROR(VLOOKUP(Table6[[#This Row],[Error Code]],'Basic Data'!$T:$U,2,0),"")</f>
        <v>Manual Stop - Safety Related</v>
      </c>
      <c r="M884" s="364" t="s">
        <v>481</v>
      </c>
      <c r="N884" s="121"/>
      <c r="O884" s="346">
        <v>0</v>
      </c>
      <c r="P884" s="346">
        <v>0.99998842592592596</v>
      </c>
      <c r="Q884" s="346">
        <v>0.99998842592592596</v>
      </c>
      <c r="R884" s="366">
        <f>IF(Table6[[#This Row],[Work Start TimeStamp]]="","",(Table6[[#This Row],[Work Start TimeStamp]]-Table6[[#This Row],[Fault Start TimeStamp]])*24)</f>
        <v>23.999722222222225</v>
      </c>
      <c r="S884" s="377">
        <f>(Table6[[#This Row],[Fault Clearance time]]-Table6[[#This Row],[Work Start TimeStamp]])*24</f>
        <v>0</v>
      </c>
      <c r="T884" s="380">
        <f>(Table6[[#This Row],[Fault Clearance time]]-Table6[[#This Row],[Fault Start TimeStamp]])*24</f>
        <v>23.999722222222225</v>
      </c>
      <c r="U884" s="364" t="s">
        <v>498</v>
      </c>
      <c r="V884" s="364" t="s">
        <v>473</v>
      </c>
      <c r="W884" s="356">
        <f>Table6[[#This Row],[Breakdown Time]]*(1/39)</f>
        <v>0.61537749287749288</v>
      </c>
      <c r="X884" s="353" t="s">
        <v>1212</v>
      </c>
      <c r="Y884" s="39" t="s">
        <v>143</v>
      </c>
      <c r="Z884" s="15">
        <v>23418</v>
      </c>
      <c r="AA884" s="123">
        <f>IFERROR((Table6[[#This Row],[Paired WTG Generation for loss calculation]]/24)*Table6[[#This Row],[Breakdown Time]],"")</f>
        <v>23417.728958333337</v>
      </c>
      <c r="AB884" s="121" t="s">
        <v>478</v>
      </c>
      <c r="AC884" s="121"/>
      <c r="AD884" s="121"/>
    </row>
    <row r="885" spans="1:30">
      <c r="A885" s="121">
        <f t="shared" si="13"/>
        <v>884</v>
      </c>
      <c r="B885" s="381">
        <f>YEAR(Table6[[#This Row],[Date]])+IF(MONTH(Table6[[#This Row],[Date]])&gt;=4,1,0)</f>
        <v>2026</v>
      </c>
      <c r="C885" s="382">
        <f>YEAR(Table6[[#This Row],[Date]])</f>
        <v>2025</v>
      </c>
      <c r="D885" s="39" t="s">
        <v>490</v>
      </c>
      <c r="E885" s="135">
        <f>Table6[[#This Row],[Date]]-DAY(Table6[[#This Row],[Date]])+1</f>
        <v>45809</v>
      </c>
      <c r="F885" s="383">
        <v>45836</v>
      </c>
      <c r="G885" s="121" t="s">
        <v>142</v>
      </c>
      <c r="H885" s="39" t="str">
        <f>_xlfn.XLOOKUP(Table6[[#This Row],[Affected WTG]],'Basic Data'!$A:$A,'Basic Data'!$B:$B)</f>
        <v>PWEGPL</v>
      </c>
      <c r="I885" s="39" t="str">
        <f>_xlfn.XLOOKUP(Table6[[#This Row],[Affected WTG]],'Basic Data'!$A:$A,'Basic Data'!$C:$C)</f>
        <v>MSEDCL</v>
      </c>
      <c r="J885" s="389">
        <f>IFERROR(VLOOKUP(Table6[[#This Row],[Affected WTG]],'Basic Data'!$A$3:$E$56,5,0),"")</f>
        <v>2.564102564102564E-2</v>
      </c>
      <c r="K885" s="121" t="s">
        <v>492</v>
      </c>
      <c r="L885" s="386" t="str">
        <f>IFERROR(VLOOKUP(Table6[[#This Row],[Error Code]],'Basic Data'!$T:$U,2,0),"")</f>
        <v>Manual Stop - Safety Related</v>
      </c>
      <c r="M885" s="364" t="s">
        <v>481</v>
      </c>
      <c r="N885" s="121"/>
      <c r="O885" s="346">
        <v>0</v>
      </c>
      <c r="P885" s="346">
        <v>0.99998842592592596</v>
      </c>
      <c r="Q885" s="346">
        <v>0.99998842592592596</v>
      </c>
      <c r="R885" s="366">
        <f>IF(Table6[[#This Row],[Work Start TimeStamp]]="","",(Table6[[#This Row],[Work Start TimeStamp]]-Table6[[#This Row],[Fault Start TimeStamp]])*24)</f>
        <v>23.999722222222225</v>
      </c>
      <c r="S885" s="377">
        <f>(Table6[[#This Row],[Fault Clearance time]]-Table6[[#This Row],[Work Start TimeStamp]])*24</f>
        <v>0</v>
      </c>
      <c r="T885" s="380">
        <f>(Table6[[#This Row],[Fault Clearance time]]-Table6[[#This Row],[Fault Start TimeStamp]])*24</f>
        <v>23.999722222222225</v>
      </c>
      <c r="U885" s="364" t="s">
        <v>498</v>
      </c>
      <c r="V885" s="364" t="s">
        <v>473</v>
      </c>
      <c r="W885" s="356">
        <f>Table6[[#This Row],[Breakdown Time]]*(1/39)</f>
        <v>0.61537749287749288</v>
      </c>
      <c r="X885" s="353" t="s">
        <v>1212</v>
      </c>
      <c r="Y885" s="39" t="s">
        <v>143</v>
      </c>
      <c r="Z885" s="15">
        <v>23418</v>
      </c>
      <c r="AA885" s="123">
        <f>IFERROR((Table6[[#This Row],[Paired WTG Generation for loss calculation]]/24)*Table6[[#This Row],[Breakdown Time]],"")</f>
        <v>23417.728958333337</v>
      </c>
      <c r="AB885" s="121" t="s">
        <v>478</v>
      </c>
      <c r="AC885" s="121"/>
      <c r="AD885" s="121"/>
    </row>
    <row r="886" spans="1:30">
      <c r="A886" s="121">
        <f t="shared" si="13"/>
        <v>885</v>
      </c>
      <c r="B886" s="381">
        <f>YEAR(Table6[[#This Row],[Date]])+IF(MONTH(Table6[[#This Row],[Date]])&gt;=4,1,0)</f>
        <v>2026</v>
      </c>
      <c r="C886" s="382">
        <f>YEAR(Table6[[#This Row],[Date]])</f>
        <v>2025</v>
      </c>
      <c r="D886" s="39" t="s">
        <v>490</v>
      </c>
      <c r="E886" s="135">
        <f>Table6[[#This Row],[Date]]-DAY(Table6[[#This Row],[Date]])+1</f>
        <v>45809</v>
      </c>
      <c r="F886" s="383">
        <v>45836</v>
      </c>
      <c r="G886" s="121" t="s">
        <v>131</v>
      </c>
      <c r="H886" s="39" t="str">
        <f>_xlfn.XLOOKUP(Table6[[#This Row],[Affected WTG]],'Basic Data'!$A:$A,'Basic Data'!$B:$B)</f>
        <v>PWEGPL</v>
      </c>
      <c r="I886" s="39" t="str">
        <f>_xlfn.XLOOKUP(Table6[[#This Row],[Affected WTG]],'Basic Data'!$A:$A,'Basic Data'!$C:$C)</f>
        <v>MSEDCL</v>
      </c>
      <c r="J886" s="389">
        <f>IFERROR(VLOOKUP(Table6[[#This Row],[Affected WTG]],'Basic Data'!$A$3:$E$56,5,0),"")</f>
        <v>2.564102564102564E-2</v>
      </c>
      <c r="K886" s="121" t="s">
        <v>492</v>
      </c>
      <c r="L886" s="386" t="str">
        <f>IFERROR(VLOOKUP(Table6[[#This Row],[Error Code]],'Basic Data'!$T:$U,2,0),"")</f>
        <v>Manual Stop - Safety Related</v>
      </c>
      <c r="M886" s="364" t="s">
        <v>462</v>
      </c>
      <c r="N886" s="121"/>
      <c r="O886" s="346">
        <v>0</v>
      </c>
      <c r="P886" s="346">
        <v>0.99998842592592596</v>
      </c>
      <c r="Q886" s="346">
        <v>0.99998842592592596</v>
      </c>
      <c r="R886" s="366">
        <f>IF(Table6[[#This Row],[Work Start TimeStamp]]="","",(Table6[[#This Row],[Work Start TimeStamp]]-Table6[[#This Row],[Fault Start TimeStamp]])*24)</f>
        <v>23.999722222222225</v>
      </c>
      <c r="S886" s="377">
        <f>(Table6[[#This Row],[Fault Clearance time]]-Table6[[#This Row],[Work Start TimeStamp]])*24</f>
        <v>0</v>
      </c>
      <c r="T886" s="380">
        <f>(Table6[[#This Row],[Fault Clearance time]]-Table6[[#This Row],[Fault Start TimeStamp]])*24</f>
        <v>23.999722222222225</v>
      </c>
      <c r="U886" s="364" t="s">
        <v>1247</v>
      </c>
      <c r="V886" s="364" t="s">
        <v>473</v>
      </c>
      <c r="W886" s="356">
        <f>Table6[[#This Row],[Breakdown Time]]*(1/39)</f>
        <v>0.61537749287749288</v>
      </c>
      <c r="X886" s="353" t="s">
        <v>465</v>
      </c>
      <c r="Y886" s="364" t="s">
        <v>132</v>
      </c>
      <c r="Z886" s="15">
        <v>23109</v>
      </c>
      <c r="AA886" s="123">
        <f>IFERROR((Table6[[#This Row],[Paired WTG Generation for loss calculation]]/24)*Table6[[#This Row],[Breakdown Time]],"")</f>
        <v>23108.732534722225</v>
      </c>
      <c r="AB886" s="121" t="s">
        <v>478</v>
      </c>
      <c r="AC886" s="121"/>
      <c r="AD886" s="121"/>
    </row>
    <row r="887" spans="1:30">
      <c r="A887" s="121">
        <f t="shared" si="13"/>
        <v>886</v>
      </c>
      <c r="B887" s="381">
        <f>YEAR(Table6[[#This Row],[Date]])+IF(MONTH(Table6[[#This Row],[Date]])&gt;=4,1,0)</f>
        <v>2026</v>
      </c>
      <c r="C887" s="382">
        <f>YEAR(Table6[[#This Row],[Date]])</f>
        <v>2025</v>
      </c>
      <c r="D887" s="39" t="s">
        <v>490</v>
      </c>
      <c r="E887" s="135">
        <f>Table6[[#This Row],[Date]]-DAY(Table6[[#This Row],[Date]])+1</f>
        <v>45809</v>
      </c>
      <c r="F887" s="383">
        <v>45836</v>
      </c>
      <c r="G887" s="384" t="s">
        <v>116</v>
      </c>
      <c r="H887" s="39" t="str">
        <f>_xlfn.XLOOKUP(Table6[[#This Row],[Affected WTG]],'Basic Data'!$A:$A,'Basic Data'!$B:$B)</f>
        <v>PWEGPL</v>
      </c>
      <c r="I887" s="39" t="str">
        <f>_xlfn.XLOOKUP(Table6[[#This Row],[Affected WTG]],'Basic Data'!$A:$A,'Basic Data'!$C:$C)</f>
        <v>MSEDCL</v>
      </c>
      <c r="J887" s="389">
        <f>IFERROR(VLOOKUP(Table6[[#This Row],[Affected WTG]],'Basic Data'!$A$3:$E$56,5,0),"")</f>
        <v>2.564102564102564E-2</v>
      </c>
      <c r="K887" s="121">
        <v>700</v>
      </c>
      <c r="L887" s="386" t="str">
        <f>IFERROR(VLOOKUP(Table6[[#This Row],[Error Code]],'Basic Data'!$T:$U,2,0),"")</f>
        <v>PLC-Converter Communication Error</v>
      </c>
      <c r="M887" s="364" t="s">
        <v>462</v>
      </c>
      <c r="N887" s="121"/>
      <c r="O887" s="346">
        <v>0.59027777777777779</v>
      </c>
      <c r="P887" s="346">
        <v>0.61458333333333337</v>
      </c>
      <c r="Q887" s="346">
        <v>0.82291666666666663</v>
      </c>
      <c r="R887" s="366">
        <f>IF(Table6[[#This Row],[Work Start TimeStamp]]="","",(Table6[[#This Row],[Work Start TimeStamp]]-Table6[[#This Row],[Fault Start TimeStamp]])*24)</f>
        <v>0.58333333333333393</v>
      </c>
      <c r="S887" s="377">
        <f>(Table6[[#This Row],[Fault Clearance time]]-Table6[[#This Row],[Work Start TimeStamp]])*24</f>
        <v>4.9999999999999982</v>
      </c>
      <c r="T887" s="380">
        <f>(Table6[[#This Row],[Fault Clearance time]]-Table6[[#This Row],[Fault Start TimeStamp]])*24</f>
        <v>5.5833333333333321</v>
      </c>
      <c r="U887" s="364" t="s">
        <v>1322</v>
      </c>
      <c r="V887" s="364" t="s">
        <v>463</v>
      </c>
      <c r="W887" s="356">
        <f>Table6[[#This Row],[Breakdown Time]]*(1/39)</f>
        <v>0.14316239316239313</v>
      </c>
      <c r="X887" s="353" t="s">
        <v>465</v>
      </c>
      <c r="Y887" s="364" t="s">
        <v>118</v>
      </c>
      <c r="Z887" s="15">
        <v>23335</v>
      </c>
      <c r="AA887" s="123">
        <f>IFERROR((Table6[[#This Row],[Paired WTG Generation for loss calculation]]/24)*Table6[[#This Row],[Breakdown Time]],"")</f>
        <v>5428.6284722222208</v>
      </c>
      <c r="AB887" s="121" t="s">
        <v>478</v>
      </c>
      <c r="AC887" s="121"/>
      <c r="AD887" s="121"/>
    </row>
    <row r="888" spans="1:30">
      <c r="A888" s="121">
        <f t="shared" si="13"/>
        <v>887</v>
      </c>
      <c r="B888" s="381">
        <f>YEAR(Table6[[#This Row],[Date]])+IF(MONTH(Table6[[#This Row],[Date]])&gt;=4,1,0)</f>
        <v>2026</v>
      </c>
      <c r="C888" s="382">
        <f>YEAR(Table6[[#This Row],[Date]])</f>
        <v>2025</v>
      </c>
      <c r="D888" s="39" t="s">
        <v>490</v>
      </c>
      <c r="E888" s="135">
        <f>Table6[[#This Row],[Date]]-DAY(Table6[[#This Row],[Date]])+1</f>
        <v>45809</v>
      </c>
      <c r="F888" s="383">
        <v>45836</v>
      </c>
      <c r="G888" s="384" t="s">
        <v>126</v>
      </c>
      <c r="H888" s="39" t="str">
        <f>_xlfn.XLOOKUP(Table6[[#This Row],[Affected WTG]],'Basic Data'!$A:$A,'Basic Data'!$B:$B)</f>
        <v>PWEGPL</v>
      </c>
      <c r="I888" s="39" t="str">
        <f>_xlfn.XLOOKUP(Table6[[#This Row],[Affected WTG]],'Basic Data'!$A:$A,'Basic Data'!$C:$C)</f>
        <v>MSEDCL</v>
      </c>
      <c r="J888" s="389">
        <f>IFERROR(VLOOKUP(Table6[[#This Row],[Affected WTG]],'Basic Data'!$A$3:$E$56,5,0),"")</f>
        <v>2.564102564102564E-2</v>
      </c>
      <c r="K888" s="121">
        <v>203</v>
      </c>
      <c r="L888" s="386" t="str">
        <f>IFERROR(VLOOKUP(Table6[[#This Row],[Error Code]],'Basic Data'!$T:$U,2,0),"")</f>
        <v>Low Pressure On Hydraulic Group</v>
      </c>
      <c r="M888" s="364" t="s">
        <v>462</v>
      </c>
      <c r="N888" s="121"/>
      <c r="O888" s="346">
        <v>0.63888888888888884</v>
      </c>
      <c r="P888" s="346">
        <v>0.66180555555555554</v>
      </c>
      <c r="Q888" s="346">
        <v>0.79166666666666663</v>
      </c>
      <c r="R888" s="366">
        <f>IF(Table6[[#This Row],[Work Start TimeStamp]]="","",(Table6[[#This Row],[Work Start TimeStamp]]-Table6[[#This Row],[Fault Start TimeStamp]])*24)</f>
        <v>0.55000000000000071</v>
      </c>
      <c r="S888" s="377">
        <f>(Table6[[#This Row],[Fault Clearance time]]-Table6[[#This Row],[Work Start TimeStamp]])*24</f>
        <v>3.1166666666666663</v>
      </c>
      <c r="T888" s="380">
        <f>(Table6[[#This Row],[Fault Clearance time]]-Table6[[#This Row],[Fault Start TimeStamp]])*24</f>
        <v>3.666666666666667</v>
      </c>
      <c r="U888" s="364" t="s">
        <v>1317</v>
      </c>
      <c r="V888" s="364" t="s">
        <v>463</v>
      </c>
      <c r="W888" s="356">
        <f>Table6[[#This Row],[Breakdown Time]]*(1/39)</f>
        <v>9.4017094017094016E-2</v>
      </c>
      <c r="X888" s="353" t="s">
        <v>465</v>
      </c>
      <c r="Y888" s="364" t="s">
        <v>127</v>
      </c>
      <c r="Z888" s="15">
        <v>23421</v>
      </c>
      <c r="AA888" s="123">
        <f>IFERROR((Table6[[#This Row],[Paired WTG Generation for loss calculation]]/24)*Table6[[#This Row],[Breakdown Time]],"")</f>
        <v>3578.2083333333335</v>
      </c>
      <c r="AB888" s="121" t="s">
        <v>478</v>
      </c>
      <c r="AC888" s="121"/>
      <c r="AD888" s="121"/>
    </row>
    <row r="889" spans="1:30">
      <c r="A889" s="121">
        <f t="shared" si="13"/>
        <v>888</v>
      </c>
      <c r="B889" s="381">
        <f>YEAR(Table6[[#This Row],[Date]])+IF(MONTH(Table6[[#This Row],[Date]])&gt;=4,1,0)</f>
        <v>2026</v>
      </c>
      <c r="C889" s="382">
        <f>YEAR(Table6[[#This Row],[Date]])</f>
        <v>2025</v>
      </c>
      <c r="D889" s="39" t="s">
        <v>490</v>
      </c>
      <c r="E889" s="135">
        <f>Table6[[#This Row],[Date]]-DAY(Table6[[#This Row],[Date]])+1</f>
        <v>45809</v>
      </c>
      <c r="F889" s="383">
        <v>45836</v>
      </c>
      <c r="G889" s="384" t="s">
        <v>123</v>
      </c>
      <c r="H889" s="39" t="str">
        <f>_xlfn.XLOOKUP(Table6[[#This Row],[Affected WTG]],'Basic Data'!$A:$A,'Basic Data'!$B:$B)</f>
        <v>PWEGPL</v>
      </c>
      <c r="I889" s="39" t="str">
        <f>_xlfn.XLOOKUP(Table6[[#This Row],[Affected WTG]],'Basic Data'!$A:$A,'Basic Data'!$C:$C)</f>
        <v>MSEDCL</v>
      </c>
      <c r="J889" s="389">
        <f>IFERROR(VLOOKUP(Table6[[#This Row],[Affected WTG]],'Basic Data'!$A$3:$E$56,5,0),"")</f>
        <v>2.564102564102564E-2</v>
      </c>
      <c r="K889" s="121">
        <v>203</v>
      </c>
      <c r="L889" s="386" t="str">
        <f>IFERROR(VLOOKUP(Table6[[#This Row],[Error Code]],'Basic Data'!$T:$U,2,0),"")</f>
        <v>Low Pressure On Hydraulic Group</v>
      </c>
      <c r="M889" s="364" t="s">
        <v>462</v>
      </c>
      <c r="N889" s="121"/>
      <c r="O889" s="346">
        <v>0.65277777777777779</v>
      </c>
      <c r="P889" s="346">
        <v>0.66388888888888886</v>
      </c>
      <c r="Q889" s="346">
        <v>0.77083333333333337</v>
      </c>
      <c r="R889" s="366">
        <f>IF(Table6[[#This Row],[Work Start TimeStamp]]="","",(Table6[[#This Row],[Work Start TimeStamp]]-Table6[[#This Row],[Fault Start TimeStamp]])*24)</f>
        <v>0.26666666666666572</v>
      </c>
      <c r="S889" s="377">
        <f>(Table6[[#This Row],[Fault Clearance time]]-Table6[[#This Row],[Work Start TimeStamp]])*24</f>
        <v>2.5666666666666682</v>
      </c>
      <c r="T889" s="380">
        <f>(Table6[[#This Row],[Fault Clearance time]]-Table6[[#This Row],[Fault Start TimeStamp]])*24</f>
        <v>2.8333333333333339</v>
      </c>
      <c r="U889" s="364" t="s">
        <v>1318</v>
      </c>
      <c r="V889" s="364" t="s">
        <v>463</v>
      </c>
      <c r="W889" s="356">
        <f>Table6[[#This Row],[Breakdown Time]]*(1/39)</f>
        <v>7.2649572649572669E-2</v>
      </c>
      <c r="X889" s="353" t="s">
        <v>465</v>
      </c>
      <c r="Y889" s="364" t="s">
        <v>127</v>
      </c>
      <c r="Z889" s="15">
        <v>23421</v>
      </c>
      <c r="AA889" s="123">
        <f>IFERROR((Table6[[#This Row],[Paired WTG Generation for loss calculation]]/24)*Table6[[#This Row],[Breakdown Time]],"")</f>
        <v>2764.9791666666674</v>
      </c>
      <c r="AB889" s="121" t="s">
        <v>478</v>
      </c>
      <c r="AC889" s="121"/>
      <c r="AD889" s="121"/>
    </row>
    <row r="890" spans="1:30">
      <c r="A890" s="121">
        <f t="shared" si="13"/>
        <v>889</v>
      </c>
      <c r="B890" s="381">
        <f>YEAR(Table6[[#This Row],[Date]])+IF(MONTH(Table6[[#This Row],[Date]])&gt;=4,1,0)</f>
        <v>2026</v>
      </c>
      <c r="C890" s="382">
        <f>YEAR(Table6[[#This Row],[Date]])</f>
        <v>2025</v>
      </c>
      <c r="D890" s="39" t="s">
        <v>490</v>
      </c>
      <c r="E890" s="135">
        <f>Table6[[#This Row],[Date]]-DAY(Table6[[#This Row],[Date]])+1</f>
        <v>45809</v>
      </c>
      <c r="F890" s="383">
        <v>45836</v>
      </c>
      <c r="G890" s="384" t="s">
        <v>117</v>
      </c>
      <c r="H890" s="39" t="str">
        <f>_xlfn.XLOOKUP(Table6[[#This Row],[Affected WTG]],'Basic Data'!$A:$A,'Basic Data'!$B:$B)</f>
        <v>PWEGPL</v>
      </c>
      <c r="I890" s="39" t="str">
        <f>_xlfn.XLOOKUP(Table6[[#This Row],[Affected WTG]],'Basic Data'!$A:$A,'Basic Data'!$C:$C)</f>
        <v>MSEDCL</v>
      </c>
      <c r="J890" s="389">
        <f>IFERROR(VLOOKUP(Table6[[#This Row],[Affected WTG]],'Basic Data'!$A$3:$E$56,5,0),"")</f>
        <v>2.564102564102564E-2</v>
      </c>
      <c r="K890" s="121">
        <v>2118</v>
      </c>
      <c r="L890" s="386" t="str">
        <f>IFERROR(VLOOKUP(Table6[[#This Row],[Error Code]],'Basic Data'!$T:$U,2,0),"")</f>
        <v>Bus Error - Interbus Failure</v>
      </c>
      <c r="M890" s="364" t="s">
        <v>462</v>
      </c>
      <c r="N890" s="121"/>
      <c r="O890" s="346">
        <v>0.51041666666666663</v>
      </c>
      <c r="P890" s="346">
        <v>0.51736111111111116</v>
      </c>
      <c r="Q890" s="346">
        <v>0.5625</v>
      </c>
      <c r="R890" s="366">
        <f>IF(Table6[[#This Row],[Work Start TimeStamp]]="","",(Table6[[#This Row],[Work Start TimeStamp]]-Table6[[#This Row],[Fault Start TimeStamp]])*24)</f>
        <v>0.16666666666666874</v>
      </c>
      <c r="S890" s="377">
        <f>(Table6[[#This Row],[Fault Clearance time]]-Table6[[#This Row],[Work Start TimeStamp]])*24</f>
        <v>1.0833333333333321</v>
      </c>
      <c r="T890" s="380">
        <f>(Table6[[#This Row],[Fault Clearance time]]-Table6[[#This Row],[Fault Start TimeStamp]])*24</f>
        <v>1.2500000000000009</v>
      </c>
      <c r="U890" s="364" t="s">
        <v>1319</v>
      </c>
      <c r="V890" s="364" t="s">
        <v>463</v>
      </c>
      <c r="W890" s="356">
        <f>Table6[[#This Row],[Breakdown Time]]*(1/39)</f>
        <v>3.2051282051282076E-2</v>
      </c>
      <c r="X890" s="353" t="s">
        <v>465</v>
      </c>
      <c r="Y890" s="364" t="s">
        <v>118</v>
      </c>
      <c r="Z890" s="15">
        <v>23335</v>
      </c>
      <c r="AA890" s="123">
        <f>IFERROR((Table6[[#This Row],[Paired WTG Generation for loss calculation]]/24)*Table6[[#This Row],[Breakdown Time]],"")</f>
        <v>1215.3645833333342</v>
      </c>
      <c r="AB890" s="121" t="s">
        <v>478</v>
      </c>
      <c r="AC890" s="121"/>
      <c r="AD890" s="121"/>
    </row>
    <row r="891" spans="1:30">
      <c r="A891" s="121">
        <f t="shared" si="13"/>
        <v>890</v>
      </c>
      <c r="B891" s="381">
        <f>YEAR(Table6[[#This Row],[Date]])+IF(MONTH(Table6[[#This Row],[Date]])&gt;=4,1,0)</f>
        <v>2026</v>
      </c>
      <c r="C891" s="382">
        <f>YEAR(Table6[[#This Row],[Date]])</f>
        <v>2025</v>
      </c>
      <c r="D891" s="39" t="s">
        <v>490</v>
      </c>
      <c r="E891" s="135">
        <f>Table6[[#This Row],[Date]]-DAY(Table6[[#This Row],[Date]])+1</f>
        <v>45809</v>
      </c>
      <c r="F891" s="383">
        <v>45836</v>
      </c>
      <c r="G891" s="384" t="s">
        <v>137</v>
      </c>
      <c r="H891" s="39" t="str">
        <f>_xlfn.XLOOKUP(Table6[[#This Row],[Affected WTG]],'Basic Data'!$A:$A,'Basic Data'!$B:$B)</f>
        <v>PWEGPL</v>
      </c>
      <c r="I891" s="39" t="str">
        <f>_xlfn.XLOOKUP(Table6[[#This Row],[Affected WTG]],'Basic Data'!$A:$A,'Basic Data'!$C:$C)</f>
        <v>MSEDCL</v>
      </c>
      <c r="J891" s="389">
        <f>IFERROR(VLOOKUP(Table6[[#This Row],[Affected WTG]],'Basic Data'!$A$3:$E$56,5,0),"")</f>
        <v>2.564102564102564E-2</v>
      </c>
      <c r="K891" s="121">
        <v>2118</v>
      </c>
      <c r="L891" s="386" t="str">
        <f>IFERROR(VLOOKUP(Table6[[#This Row],[Error Code]],'Basic Data'!$T:$U,2,0),"")</f>
        <v>Bus Error - Interbus Failure</v>
      </c>
      <c r="M891" s="364" t="s">
        <v>462</v>
      </c>
      <c r="N891" s="121"/>
      <c r="O891" s="346">
        <v>0.76388888888888884</v>
      </c>
      <c r="P891" s="346">
        <v>0.80208333333333337</v>
      </c>
      <c r="Q891" s="346">
        <v>0.8041666666666667</v>
      </c>
      <c r="R891" s="366">
        <f>IF(Table6[[#This Row],[Work Start TimeStamp]]="","",(Table6[[#This Row],[Work Start TimeStamp]]-Table6[[#This Row],[Fault Start TimeStamp]])*24)</f>
        <v>0.91666666666666874</v>
      </c>
      <c r="S891" s="377">
        <f>(Table6[[#This Row],[Fault Clearance time]]-Table6[[#This Row],[Work Start TimeStamp]])*24</f>
        <v>4.9999999999999822E-2</v>
      </c>
      <c r="T891" s="380">
        <f>(Table6[[#This Row],[Fault Clearance time]]-Table6[[#This Row],[Fault Start TimeStamp]])*24</f>
        <v>0.96666666666666856</v>
      </c>
      <c r="U891" s="364" t="s">
        <v>493</v>
      </c>
      <c r="V891" s="364" t="s">
        <v>463</v>
      </c>
      <c r="W891" s="356">
        <f>Table6[[#This Row],[Breakdown Time]]*(1/39)</f>
        <v>2.4786324786324834E-2</v>
      </c>
      <c r="X891" s="353" t="s">
        <v>465</v>
      </c>
      <c r="Y891" s="364" t="s">
        <v>136</v>
      </c>
      <c r="Z891" s="15">
        <v>23276</v>
      </c>
      <c r="AA891" s="123">
        <f>IFERROR((Table6[[#This Row],[Paired WTG Generation for loss calculation]]/24)*Table6[[#This Row],[Breakdown Time]],"")</f>
        <v>937.50555555555741</v>
      </c>
      <c r="AB891" s="121" t="s">
        <v>478</v>
      </c>
      <c r="AC891" s="121"/>
      <c r="AD891" s="121"/>
    </row>
    <row r="892" spans="1:30">
      <c r="A892" s="121">
        <f t="shared" si="13"/>
        <v>891</v>
      </c>
      <c r="B892" s="381">
        <f>YEAR(Table6[[#This Row],[Date]])+IF(MONTH(Table6[[#This Row],[Date]])&gt;=4,1,0)</f>
        <v>2026</v>
      </c>
      <c r="C892" s="382">
        <f>YEAR(Table6[[#This Row],[Date]])</f>
        <v>2025</v>
      </c>
      <c r="D892" s="39" t="s">
        <v>490</v>
      </c>
      <c r="E892" s="135">
        <f>Table6[[#This Row],[Date]]-DAY(Table6[[#This Row],[Date]])+1</f>
        <v>45809</v>
      </c>
      <c r="F892" s="383">
        <v>45837</v>
      </c>
      <c r="G892" s="384" t="s">
        <v>144</v>
      </c>
      <c r="H892" s="39" t="str">
        <f>_xlfn.XLOOKUP(Table6[[#This Row],[Affected WTG]],'Basic Data'!$A:$A,'Basic Data'!$B:$B)</f>
        <v>PWEGPL</v>
      </c>
      <c r="I892" s="39" t="str">
        <f>_xlfn.XLOOKUP(Table6[[#This Row],[Affected WTG]],'Basic Data'!$A:$A,'Basic Data'!$C:$C)</f>
        <v>MSEDCL</v>
      </c>
      <c r="J892" s="389">
        <f>IFERROR(VLOOKUP(Table6[[#This Row],[Affected WTG]],'Basic Data'!$A$3:$E$56,5,0),"")</f>
        <v>2.564102564102564E-2</v>
      </c>
      <c r="K892" s="121" t="s">
        <v>492</v>
      </c>
      <c r="L892" s="386" t="str">
        <f>IFERROR(VLOOKUP(Table6[[#This Row],[Error Code]],'Basic Data'!$T:$U,2,0),"")</f>
        <v>Manual Stop - Safety Related</v>
      </c>
      <c r="M892" s="364" t="s">
        <v>481</v>
      </c>
      <c r="N892" s="121"/>
      <c r="O892" s="346">
        <v>0</v>
      </c>
      <c r="P892" s="346">
        <v>0.99998842592592596</v>
      </c>
      <c r="Q892" s="346">
        <v>0.99998842592592596</v>
      </c>
      <c r="R892" s="366">
        <f>IF(Table6[[#This Row],[Work Start TimeStamp]]="","",(Table6[[#This Row],[Work Start TimeStamp]]-Table6[[#This Row],[Fault Start TimeStamp]])*24)</f>
        <v>23.999722222222225</v>
      </c>
      <c r="S892" s="377">
        <f>(Table6[[#This Row],[Fault Clearance time]]-Table6[[#This Row],[Work Start TimeStamp]])*24</f>
        <v>0</v>
      </c>
      <c r="T892" s="380">
        <f>(Table6[[#This Row],[Fault Clearance time]]-Table6[[#This Row],[Fault Start TimeStamp]])*24</f>
        <v>23.999722222222225</v>
      </c>
      <c r="U892" s="364" t="s">
        <v>498</v>
      </c>
      <c r="V892" s="364" t="s">
        <v>473</v>
      </c>
      <c r="W892" s="356">
        <f>Table6[[#This Row],[Breakdown Time]]*(1/39)</f>
        <v>0.61537749287749288</v>
      </c>
      <c r="X892" s="353" t="s">
        <v>1212</v>
      </c>
      <c r="Y892" s="39" t="s">
        <v>143</v>
      </c>
      <c r="Z892" s="15">
        <v>31102</v>
      </c>
      <c r="AA892" s="123">
        <f>IFERROR((Table6[[#This Row],[Paired WTG Generation for loss calculation]]/24)*Table6[[#This Row],[Breakdown Time]],"")</f>
        <v>31101.640023148153</v>
      </c>
      <c r="AB892" s="121" t="s">
        <v>478</v>
      </c>
      <c r="AC892" s="121"/>
      <c r="AD892" s="121"/>
    </row>
    <row r="893" spans="1:30">
      <c r="A893" s="121">
        <f t="shared" si="13"/>
        <v>892</v>
      </c>
      <c r="B893" s="381">
        <f>YEAR(Table6[[#This Row],[Date]])+IF(MONTH(Table6[[#This Row],[Date]])&gt;=4,1,0)</f>
        <v>2026</v>
      </c>
      <c r="C893" s="382">
        <f>YEAR(Table6[[#This Row],[Date]])</f>
        <v>2025</v>
      </c>
      <c r="D893" s="39" t="s">
        <v>490</v>
      </c>
      <c r="E893" s="135">
        <f>Table6[[#This Row],[Date]]-DAY(Table6[[#This Row],[Date]])+1</f>
        <v>45809</v>
      </c>
      <c r="F893" s="383">
        <v>45837</v>
      </c>
      <c r="G893" s="121" t="s">
        <v>142</v>
      </c>
      <c r="H893" s="39" t="str">
        <f>_xlfn.XLOOKUP(Table6[[#This Row],[Affected WTG]],'Basic Data'!$A:$A,'Basic Data'!$B:$B)</f>
        <v>PWEGPL</v>
      </c>
      <c r="I893" s="39" t="str">
        <f>_xlfn.XLOOKUP(Table6[[#This Row],[Affected WTG]],'Basic Data'!$A:$A,'Basic Data'!$C:$C)</f>
        <v>MSEDCL</v>
      </c>
      <c r="J893" s="389">
        <f>IFERROR(VLOOKUP(Table6[[#This Row],[Affected WTG]],'Basic Data'!$A$3:$E$56,5,0),"")</f>
        <v>2.564102564102564E-2</v>
      </c>
      <c r="K893" s="121" t="s">
        <v>492</v>
      </c>
      <c r="L893" s="386" t="str">
        <f>IFERROR(VLOOKUP(Table6[[#This Row],[Error Code]],'Basic Data'!$T:$U,2,0),"")</f>
        <v>Manual Stop - Safety Related</v>
      </c>
      <c r="M893" s="364" t="s">
        <v>481</v>
      </c>
      <c r="N893" s="121"/>
      <c r="O893" s="346">
        <v>0</v>
      </c>
      <c r="P893" s="346">
        <v>0.99998842592592596</v>
      </c>
      <c r="Q893" s="346">
        <v>0.99998842592592596</v>
      </c>
      <c r="R893" s="366">
        <f>IF(Table6[[#This Row],[Work Start TimeStamp]]="","",(Table6[[#This Row],[Work Start TimeStamp]]-Table6[[#This Row],[Fault Start TimeStamp]])*24)</f>
        <v>23.999722222222225</v>
      </c>
      <c r="S893" s="377">
        <f>(Table6[[#This Row],[Fault Clearance time]]-Table6[[#This Row],[Work Start TimeStamp]])*24</f>
        <v>0</v>
      </c>
      <c r="T893" s="380">
        <f>(Table6[[#This Row],[Fault Clearance time]]-Table6[[#This Row],[Fault Start TimeStamp]])*24</f>
        <v>23.999722222222225</v>
      </c>
      <c r="U893" s="364" t="s">
        <v>498</v>
      </c>
      <c r="V893" s="364" t="s">
        <v>473</v>
      </c>
      <c r="W893" s="356">
        <f>Table6[[#This Row],[Breakdown Time]]*(1/39)</f>
        <v>0.61537749287749288</v>
      </c>
      <c r="X893" s="353" t="s">
        <v>1212</v>
      </c>
      <c r="Y893" s="39" t="s">
        <v>143</v>
      </c>
      <c r="Z893" s="15">
        <v>31102</v>
      </c>
      <c r="AA893" s="123">
        <f>IFERROR((Table6[[#This Row],[Paired WTG Generation for loss calculation]]/24)*Table6[[#This Row],[Breakdown Time]],"")</f>
        <v>31101.640023148153</v>
      </c>
      <c r="AB893" s="121" t="s">
        <v>478</v>
      </c>
      <c r="AC893" s="121"/>
      <c r="AD893" s="121"/>
    </row>
    <row r="894" spans="1:30">
      <c r="A894" s="121">
        <f t="shared" si="13"/>
        <v>893</v>
      </c>
      <c r="B894" s="381">
        <f>YEAR(Table6[[#This Row],[Date]])+IF(MONTH(Table6[[#This Row],[Date]])&gt;=4,1,0)</f>
        <v>2026</v>
      </c>
      <c r="C894" s="382">
        <f>YEAR(Table6[[#This Row],[Date]])</f>
        <v>2025</v>
      </c>
      <c r="D894" s="39" t="s">
        <v>490</v>
      </c>
      <c r="E894" s="135">
        <f>Table6[[#This Row],[Date]]-DAY(Table6[[#This Row],[Date]])+1</f>
        <v>45809</v>
      </c>
      <c r="F894" s="383">
        <v>45837</v>
      </c>
      <c r="G894" s="121" t="s">
        <v>131</v>
      </c>
      <c r="H894" s="39" t="str">
        <f>_xlfn.XLOOKUP(Table6[[#This Row],[Affected WTG]],'Basic Data'!$A:$A,'Basic Data'!$B:$B)</f>
        <v>PWEGPL</v>
      </c>
      <c r="I894" s="39" t="str">
        <f>_xlfn.XLOOKUP(Table6[[#This Row],[Affected WTG]],'Basic Data'!$A:$A,'Basic Data'!$C:$C)</f>
        <v>MSEDCL</v>
      </c>
      <c r="J894" s="389">
        <f>IFERROR(VLOOKUP(Table6[[#This Row],[Affected WTG]],'Basic Data'!$A$3:$E$56,5,0),"")</f>
        <v>2.564102564102564E-2</v>
      </c>
      <c r="K894" s="121" t="s">
        <v>492</v>
      </c>
      <c r="L894" s="386" t="str">
        <f>IFERROR(VLOOKUP(Table6[[#This Row],[Error Code]],'Basic Data'!$T:$U,2,0),"")</f>
        <v>Manual Stop - Safety Related</v>
      </c>
      <c r="M894" s="364" t="s">
        <v>462</v>
      </c>
      <c r="N894" s="121"/>
      <c r="O894" s="346">
        <v>0</v>
      </c>
      <c r="P894" s="346">
        <v>0.99998842592592596</v>
      </c>
      <c r="Q894" s="346">
        <v>0.99998842592592596</v>
      </c>
      <c r="R894" s="366">
        <f>IF(Table6[[#This Row],[Work Start TimeStamp]]="","",(Table6[[#This Row],[Work Start TimeStamp]]-Table6[[#This Row],[Fault Start TimeStamp]])*24)</f>
        <v>23.999722222222225</v>
      </c>
      <c r="S894" s="377">
        <f>(Table6[[#This Row],[Fault Clearance time]]-Table6[[#This Row],[Work Start TimeStamp]])*24</f>
        <v>0</v>
      </c>
      <c r="T894" s="380">
        <f>(Table6[[#This Row],[Fault Clearance time]]-Table6[[#This Row],[Fault Start TimeStamp]])*24</f>
        <v>23.999722222222225</v>
      </c>
      <c r="U894" s="364" t="s">
        <v>1247</v>
      </c>
      <c r="V894" s="364" t="s">
        <v>473</v>
      </c>
      <c r="W894" s="356">
        <f>Table6[[#This Row],[Breakdown Time]]*(1/39)</f>
        <v>0.61537749287749288</v>
      </c>
      <c r="X894" s="353" t="s">
        <v>465</v>
      </c>
      <c r="Y894" s="364" t="s">
        <v>132</v>
      </c>
      <c r="Z894" s="15">
        <v>30432</v>
      </c>
      <c r="AA894" s="123">
        <f>IFERROR((Table6[[#This Row],[Paired WTG Generation for loss calculation]]/24)*Table6[[#This Row],[Breakdown Time]],"")</f>
        <v>30431.64777777778</v>
      </c>
      <c r="AB894" s="121" t="s">
        <v>478</v>
      </c>
      <c r="AC894" s="121"/>
      <c r="AD894" s="121"/>
    </row>
    <row r="895" spans="1:30">
      <c r="A895" s="121">
        <f t="shared" si="13"/>
        <v>894</v>
      </c>
      <c r="B895" s="381">
        <f>YEAR(Table6[[#This Row],[Date]])+IF(MONTH(Table6[[#This Row],[Date]])&gt;=4,1,0)</f>
        <v>2026</v>
      </c>
      <c r="C895" s="382">
        <f>YEAR(Table6[[#This Row],[Date]])</f>
        <v>2025</v>
      </c>
      <c r="D895" s="39" t="s">
        <v>490</v>
      </c>
      <c r="E895" s="135">
        <f>Table6[[#This Row],[Date]]-DAY(Table6[[#This Row],[Date]])+1</f>
        <v>45809</v>
      </c>
      <c r="F895" s="383">
        <v>45837</v>
      </c>
      <c r="G895" s="384" t="s">
        <v>116</v>
      </c>
      <c r="H895" s="39" t="str">
        <f>_xlfn.XLOOKUP(Table6[[#This Row],[Affected WTG]],'Basic Data'!$A:$A,'Basic Data'!$B:$B)</f>
        <v>PWEGPL</v>
      </c>
      <c r="I895" s="39" t="str">
        <f>_xlfn.XLOOKUP(Table6[[#This Row],[Affected WTG]],'Basic Data'!$A:$A,'Basic Data'!$C:$C)</f>
        <v>MSEDCL</v>
      </c>
      <c r="J895" s="389">
        <f>IFERROR(VLOOKUP(Table6[[#This Row],[Affected WTG]],'Basic Data'!$A$3:$E$56,5,0),"")</f>
        <v>2.564102564102564E-2</v>
      </c>
      <c r="K895" s="121">
        <v>5222</v>
      </c>
      <c r="L895" s="386" t="str">
        <f>IFERROR(VLOOKUP(Table6[[#This Row],[Error Code]],'Basic Data'!$T:$U,2,0),"")</f>
        <v>Speed Read Incorrectly</v>
      </c>
      <c r="M895" s="364" t="s">
        <v>462</v>
      </c>
      <c r="N895" s="121"/>
      <c r="O895" s="346">
        <v>0.4236111111111111</v>
      </c>
      <c r="P895" s="346">
        <v>0.49027777777777776</v>
      </c>
      <c r="Q895" s="346">
        <v>0.60069444444444442</v>
      </c>
      <c r="R895" s="366">
        <f>IF(Table6[[#This Row],[Work Start TimeStamp]]="","",(Table6[[#This Row],[Work Start TimeStamp]]-Table6[[#This Row],[Fault Start TimeStamp]])*24)</f>
        <v>1.5999999999999996</v>
      </c>
      <c r="S895" s="377">
        <f>(Table6[[#This Row],[Fault Clearance time]]-Table6[[#This Row],[Work Start TimeStamp]])*24</f>
        <v>2.65</v>
      </c>
      <c r="T895" s="380">
        <f>(Table6[[#This Row],[Fault Clearance time]]-Table6[[#This Row],[Fault Start TimeStamp]])*24</f>
        <v>4.25</v>
      </c>
      <c r="U895" s="364" t="s">
        <v>1324</v>
      </c>
      <c r="V895" s="364" t="s">
        <v>463</v>
      </c>
      <c r="W895" s="356">
        <f>Table6[[#This Row],[Breakdown Time]]*(1/39)</f>
        <v>0.10897435897435898</v>
      </c>
      <c r="X895" s="353" t="s">
        <v>465</v>
      </c>
      <c r="Y895" s="364" t="s">
        <v>118</v>
      </c>
      <c r="Z895" s="15">
        <v>30134</v>
      </c>
      <c r="AA895" s="123">
        <f>IFERROR((Table6[[#This Row],[Paired WTG Generation for loss calculation]]/24)*Table6[[#This Row],[Breakdown Time]],"")</f>
        <v>5336.2291666666661</v>
      </c>
      <c r="AB895" s="121" t="s">
        <v>478</v>
      </c>
      <c r="AC895" s="121"/>
      <c r="AD895" s="121"/>
    </row>
    <row r="896" spans="1:30">
      <c r="A896" s="121">
        <f t="shared" si="13"/>
        <v>895</v>
      </c>
      <c r="B896" s="381">
        <f>YEAR(Table6[[#This Row],[Date]])+IF(MONTH(Table6[[#This Row],[Date]])&gt;=4,1,0)</f>
        <v>2026</v>
      </c>
      <c r="C896" s="382">
        <f>YEAR(Table6[[#This Row],[Date]])</f>
        <v>2025</v>
      </c>
      <c r="D896" s="39" t="s">
        <v>490</v>
      </c>
      <c r="E896" s="135">
        <f>Table6[[#This Row],[Date]]-DAY(Table6[[#This Row],[Date]])+1</f>
        <v>45809</v>
      </c>
      <c r="F896" s="383">
        <v>45837</v>
      </c>
      <c r="G896" s="384" t="s">
        <v>116</v>
      </c>
      <c r="H896" s="39" t="str">
        <f>_xlfn.XLOOKUP(Table6[[#This Row],[Affected WTG]],'Basic Data'!$A:$A,'Basic Data'!$B:$B)</f>
        <v>PWEGPL</v>
      </c>
      <c r="I896" s="39" t="str">
        <f>_xlfn.XLOOKUP(Table6[[#This Row],[Affected WTG]],'Basic Data'!$A:$A,'Basic Data'!$C:$C)</f>
        <v>MSEDCL</v>
      </c>
      <c r="J896" s="389">
        <f>IFERROR(VLOOKUP(Table6[[#This Row],[Affected WTG]],'Basic Data'!$A$3:$E$56,5,0),"")</f>
        <v>2.564102564102564E-2</v>
      </c>
      <c r="K896" s="121">
        <v>2119</v>
      </c>
      <c r="L896" s="386" t="str">
        <f>IFERROR(VLOOKUP(Table6[[#This Row],[Error Code]],'Basic Data'!$T:$U,2,0),"")</f>
        <v>CTRL Error - Processor Stopped</v>
      </c>
      <c r="M896" s="364" t="s">
        <v>462</v>
      </c>
      <c r="N896" s="121"/>
      <c r="O896" s="346">
        <v>0.68125000000000002</v>
      </c>
      <c r="P896" s="346">
        <v>0.69930555555555551</v>
      </c>
      <c r="Q896" s="346">
        <v>0.71388888888888891</v>
      </c>
      <c r="R896" s="366">
        <f>IF(Table6[[#This Row],[Work Start TimeStamp]]="","",(Table6[[#This Row],[Work Start TimeStamp]]-Table6[[#This Row],[Fault Start TimeStamp]])*24)</f>
        <v>0.43333333333333179</v>
      </c>
      <c r="S896" s="377">
        <f>(Table6[[#This Row],[Fault Clearance time]]-Table6[[#This Row],[Work Start TimeStamp]])*24</f>
        <v>0.35000000000000142</v>
      </c>
      <c r="T896" s="380">
        <f>(Table6[[#This Row],[Fault Clearance time]]-Table6[[#This Row],[Fault Start TimeStamp]])*24</f>
        <v>0.78333333333333321</v>
      </c>
      <c r="U896" s="364" t="s">
        <v>1323</v>
      </c>
      <c r="V896" s="364" t="s">
        <v>463</v>
      </c>
      <c r="W896" s="356">
        <f>Table6[[#This Row],[Breakdown Time]]*(1/39)</f>
        <v>2.008547008547008E-2</v>
      </c>
      <c r="X896" s="353" t="s">
        <v>465</v>
      </c>
      <c r="Y896" s="364" t="s">
        <v>118</v>
      </c>
      <c r="Z896" s="15">
        <v>30134</v>
      </c>
      <c r="AA896" s="123">
        <f>IFERROR((Table6[[#This Row],[Paired WTG Generation for loss calculation]]/24)*Table6[[#This Row],[Breakdown Time]],"")</f>
        <v>983.54027777777753</v>
      </c>
      <c r="AB896" s="121" t="s">
        <v>478</v>
      </c>
      <c r="AC896" s="121"/>
      <c r="AD896" s="121"/>
    </row>
    <row r="897" spans="1:30">
      <c r="A897" s="121">
        <f t="shared" si="13"/>
        <v>896</v>
      </c>
      <c r="B897" s="381">
        <f>YEAR(Table6[[#This Row],[Date]])+IF(MONTH(Table6[[#This Row],[Date]])&gt;=4,1,0)</f>
        <v>2026</v>
      </c>
      <c r="C897" s="382">
        <f>YEAR(Table6[[#This Row],[Date]])</f>
        <v>2025</v>
      </c>
      <c r="D897" s="39" t="s">
        <v>490</v>
      </c>
      <c r="E897" s="135">
        <f>Table6[[#This Row],[Date]]-DAY(Table6[[#This Row],[Date]])+1</f>
        <v>45809</v>
      </c>
      <c r="F897" s="383">
        <v>45837</v>
      </c>
      <c r="G897" s="384" t="s">
        <v>123</v>
      </c>
      <c r="H897" s="39" t="str">
        <f>_xlfn.XLOOKUP(Table6[[#This Row],[Affected WTG]],'Basic Data'!$A:$A,'Basic Data'!$B:$B)</f>
        <v>PWEGPL</v>
      </c>
      <c r="I897" s="39" t="str">
        <f>_xlfn.XLOOKUP(Table6[[#This Row],[Affected WTG]],'Basic Data'!$A:$A,'Basic Data'!$C:$C)</f>
        <v>MSEDCL</v>
      </c>
      <c r="J897" s="389">
        <f>IFERROR(VLOOKUP(Table6[[#This Row],[Affected WTG]],'Basic Data'!$A$3:$E$56,5,0),"")</f>
        <v>2.564102564102564E-2</v>
      </c>
      <c r="K897" s="121">
        <v>203</v>
      </c>
      <c r="L897" s="386" t="str">
        <f>IFERROR(VLOOKUP(Table6[[#This Row],[Error Code]],'Basic Data'!$T:$U,2,0),"")</f>
        <v>Low Pressure On Hydraulic Group</v>
      </c>
      <c r="M897" s="364" t="s">
        <v>462</v>
      </c>
      <c r="N897" s="121"/>
      <c r="O897" s="346">
        <v>0.6430555555555556</v>
      </c>
      <c r="P897" s="346">
        <v>0.65208333333333335</v>
      </c>
      <c r="Q897" s="346">
        <v>0.65277777777777779</v>
      </c>
      <c r="R897" s="366">
        <f>IF(Table6[[#This Row],[Work Start TimeStamp]]="","",(Table6[[#This Row],[Work Start TimeStamp]]-Table6[[#This Row],[Fault Start TimeStamp]])*24)</f>
        <v>0.2166666666666659</v>
      </c>
      <c r="S897" s="377">
        <f>(Table6[[#This Row],[Fault Clearance time]]-Table6[[#This Row],[Work Start TimeStamp]])*24</f>
        <v>1.6666666666666607E-2</v>
      </c>
      <c r="T897" s="380">
        <f>(Table6[[#This Row],[Fault Clearance time]]-Table6[[#This Row],[Fault Start TimeStamp]])*24</f>
        <v>0.2333333333333325</v>
      </c>
      <c r="U897" s="364" t="s">
        <v>493</v>
      </c>
      <c r="V897" s="364" t="s">
        <v>463</v>
      </c>
      <c r="W897" s="356">
        <f>Table6[[#This Row],[Breakdown Time]]*(1/39)</f>
        <v>5.9829059829059617E-3</v>
      </c>
      <c r="X897" s="353" t="s">
        <v>465</v>
      </c>
      <c r="Y897" s="364" t="s">
        <v>127</v>
      </c>
      <c r="Z897" s="15">
        <v>31564</v>
      </c>
      <c r="AA897" s="123">
        <f>IFERROR((Table6[[#This Row],[Paired WTG Generation for loss calculation]]/24)*Table6[[#This Row],[Breakdown Time]],"")</f>
        <v>306.87222222222113</v>
      </c>
      <c r="AB897" s="121" t="s">
        <v>478</v>
      </c>
      <c r="AC897" s="121"/>
      <c r="AD897" s="121"/>
    </row>
    <row r="898" spans="1:30">
      <c r="A898" s="121">
        <f t="shared" si="13"/>
        <v>897</v>
      </c>
      <c r="B898" s="381">
        <f>YEAR(Table6[[#This Row],[Date]])+IF(MONTH(Table6[[#This Row],[Date]])&gt;=4,1,0)</f>
        <v>2026</v>
      </c>
      <c r="C898" s="382">
        <f>YEAR(Table6[[#This Row],[Date]])</f>
        <v>2025</v>
      </c>
      <c r="D898" s="39" t="s">
        <v>490</v>
      </c>
      <c r="E898" s="135">
        <f>Table6[[#This Row],[Date]]-DAY(Table6[[#This Row],[Date]])+1</f>
        <v>45809</v>
      </c>
      <c r="F898" s="383">
        <v>45837</v>
      </c>
      <c r="G898" s="384" t="s">
        <v>126</v>
      </c>
      <c r="H898" s="39" t="str">
        <f>_xlfn.XLOOKUP(Table6[[#This Row],[Affected WTG]],'Basic Data'!$A:$A,'Basic Data'!$B:$B)</f>
        <v>PWEGPL</v>
      </c>
      <c r="I898" s="39" t="str">
        <f>_xlfn.XLOOKUP(Table6[[#This Row],[Affected WTG]],'Basic Data'!$A:$A,'Basic Data'!$C:$C)</f>
        <v>MSEDCL</v>
      </c>
      <c r="J898" s="389">
        <f>IFERROR(VLOOKUP(Table6[[#This Row],[Affected WTG]],'Basic Data'!$A$3:$E$56,5,0),"")</f>
        <v>2.564102564102564E-2</v>
      </c>
      <c r="K898" s="121">
        <v>203</v>
      </c>
      <c r="L898" s="386" t="str">
        <f>IFERROR(VLOOKUP(Table6[[#This Row],[Error Code]],'Basic Data'!$T:$U,2,0),"")</f>
        <v>Low Pressure On Hydraulic Group</v>
      </c>
      <c r="M898" s="364" t="s">
        <v>462</v>
      </c>
      <c r="N898" s="121"/>
      <c r="O898" s="346">
        <v>0.63888888888888884</v>
      </c>
      <c r="P898" s="346">
        <v>0.64722222222222225</v>
      </c>
      <c r="Q898" s="346">
        <v>0.6479166666666667</v>
      </c>
      <c r="R898" s="366">
        <f>IF(Table6[[#This Row],[Work Start TimeStamp]]="","",(Table6[[#This Row],[Work Start TimeStamp]]-Table6[[#This Row],[Fault Start TimeStamp]])*24)</f>
        <v>0.20000000000000195</v>
      </c>
      <c r="S898" s="377">
        <f>(Table6[[#This Row],[Fault Clearance time]]-Table6[[#This Row],[Work Start TimeStamp]])*24</f>
        <v>1.6666666666666607E-2</v>
      </c>
      <c r="T898" s="380">
        <f>(Table6[[#This Row],[Fault Clearance time]]-Table6[[#This Row],[Fault Start TimeStamp]])*24</f>
        <v>0.21666666666666856</v>
      </c>
      <c r="U898" s="364" t="s">
        <v>493</v>
      </c>
      <c r="V898" s="364" t="s">
        <v>463</v>
      </c>
      <c r="W898" s="356">
        <f>Table6[[#This Row],[Breakdown Time]]*(1/39)</f>
        <v>5.5555555555556043E-3</v>
      </c>
      <c r="X898" s="353" t="s">
        <v>465</v>
      </c>
      <c r="Y898" s="364" t="s">
        <v>127</v>
      </c>
      <c r="Z898" s="15">
        <v>31564</v>
      </c>
      <c r="AA898" s="123">
        <f>IFERROR((Table6[[#This Row],[Paired WTG Generation for loss calculation]]/24)*Table6[[#This Row],[Breakdown Time]],"")</f>
        <v>284.95277777778028</v>
      </c>
      <c r="AB898" s="121" t="s">
        <v>478</v>
      </c>
      <c r="AC898" s="121"/>
      <c r="AD898" s="121"/>
    </row>
    <row r="899" spans="1:30">
      <c r="A899" s="121">
        <f t="shared" si="13"/>
        <v>898</v>
      </c>
      <c r="B899" s="381">
        <f>YEAR(Table6[[#This Row],[Date]])+IF(MONTH(Table6[[#This Row],[Date]])&gt;=4,1,0)</f>
        <v>2026</v>
      </c>
      <c r="C899" s="382">
        <f>YEAR(Table6[[#This Row],[Date]])</f>
        <v>2025</v>
      </c>
      <c r="D899" s="39" t="s">
        <v>490</v>
      </c>
      <c r="E899" s="135">
        <f>Table6[[#This Row],[Date]]-DAY(Table6[[#This Row],[Date]])+1</f>
        <v>45809</v>
      </c>
      <c r="F899" s="383">
        <v>45837</v>
      </c>
      <c r="G899" s="384" t="s">
        <v>152</v>
      </c>
      <c r="H899" s="39" t="str">
        <f>_xlfn.XLOOKUP(Table6[[#This Row],[Affected WTG]],'Basic Data'!$A:$A,'Basic Data'!$B:$B)</f>
        <v>PWEGPL</v>
      </c>
      <c r="I899" s="39" t="str">
        <f>_xlfn.XLOOKUP(Table6[[#This Row],[Affected WTG]],'Basic Data'!$A:$A,'Basic Data'!$C:$C)</f>
        <v>MSEDCL</v>
      </c>
      <c r="J899" s="389">
        <f>IFERROR(VLOOKUP(Table6[[#This Row],[Affected WTG]],'Basic Data'!$A$3:$E$56,5,0),"")</f>
        <v>2.564102564102564E-2</v>
      </c>
      <c r="K899" s="121">
        <v>117</v>
      </c>
      <c r="L899" s="386" t="str">
        <f>IFERROR(VLOOKUP(Table6[[#This Row],[Error Code]],'Basic Data'!$T:$U,2,0),"")</f>
        <v>Orienting and Low Yaw Brake Pressure</v>
      </c>
      <c r="M899" s="364" t="s">
        <v>462</v>
      </c>
      <c r="N899" s="121"/>
      <c r="O899" s="346">
        <v>0.63888888888888884</v>
      </c>
      <c r="P899" s="346">
        <v>0.65555555555555556</v>
      </c>
      <c r="Q899" s="346">
        <v>0.65694444444444444</v>
      </c>
      <c r="R899" s="366">
        <f>IF(Table6[[#This Row],[Work Start TimeStamp]]="","",(Table6[[#This Row],[Work Start TimeStamp]]-Table6[[#This Row],[Fault Start TimeStamp]])*24)</f>
        <v>0.40000000000000124</v>
      </c>
      <c r="S899" s="377">
        <f>(Table6[[#This Row],[Fault Clearance time]]-Table6[[#This Row],[Work Start TimeStamp]])*24</f>
        <v>3.3333333333333215E-2</v>
      </c>
      <c r="T899" s="380">
        <f>(Table6[[#This Row],[Fault Clearance time]]-Table6[[#This Row],[Fault Start TimeStamp]])*24</f>
        <v>0.43333333333333446</v>
      </c>
      <c r="U899" s="364" t="s">
        <v>493</v>
      </c>
      <c r="V899" s="364" t="s">
        <v>463</v>
      </c>
      <c r="W899" s="356">
        <f>Table6[[#This Row],[Breakdown Time]]*(1/39)</f>
        <v>1.1111111111111139E-2</v>
      </c>
      <c r="X899" s="353" t="s">
        <v>465</v>
      </c>
      <c r="Y899" s="364" t="s">
        <v>153</v>
      </c>
      <c r="Z899" s="15">
        <v>31260</v>
      </c>
      <c r="AA899" s="123">
        <f>IFERROR((Table6[[#This Row],[Paired WTG Generation for loss calculation]]/24)*Table6[[#This Row],[Breakdown Time]],"")</f>
        <v>564.41666666666811</v>
      </c>
      <c r="AB899" s="121" t="s">
        <v>478</v>
      </c>
      <c r="AC899" s="121"/>
      <c r="AD899" s="121"/>
    </row>
    <row r="900" spans="1:30">
      <c r="A900" s="121">
        <f t="shared" si="13"/>
        <v>899</v>
      </c>
      <c r="B900" s="381">
        <f>YEAR(Table6[[#This Row],[Date]])+IF(MONTH(Table6[[#This Row],[Date]])&gt;=4,1,0)</f>
        <v>2026</v>
      </c>
      <c r="C900" s="382">
        <f>YEAR(Table6[[#This Row],[Date]])</f>
        <v>2025</v>
      </c>
      <c r="D900" s="39" t="s">
        <v>490</v>
      </c>
      <c r="E900" s="135">
        <f>Table6[[#This Row],[Date]]-DAY(Table6[[#This Row],[Date]])+1</f>
        <v>45809</v>
      </c>
      <c r="F900" s="383">
        <v>45838</v>
      </c>
      <c r="G900" s="384" t="s">
        <v>144</v>
      </c>
      <c r="H900" s="39" t="str">
        <f>_xlfn.XLOOKUP(Table6[[#This Row],[Affected WTG]],'Basic Data'!$A:$A,'Basic Data'!$B:$B)</f>
        <v>PWEGPL</v>
      </c>
      <c r="I900" s="39" t="str">
        <f>_xlfn.XLOOKUP(Table6[[#This Row],[Affected WTG]],'Basic Data'!$A:$A,'Basic Data'!$C:$C)</f>
        <v>MSEDCL</v>
      </c>
      <c r="J900" s="389">
        <f>IFERROR(VLOOKUP(Table6[[#This Row],[Affected WTG]],'Basic Data'!$A$3:$E$56,5,0),"")</f>
        <v>2.564102564102564E-2</v>
      </c>
      <c r="K900" s="121" t="s">
        <v>492</v>
      </c>
      <c r="L900" s="386" t="str">
        <f>IFERROR(VLOOKUP(Table6[[#This Row],[Error Code]],'Basic Data'!$T:$U,2,0),"")</f>
        <v>Manual Stop - Safety Related</v>
      </c>
      <c r="M900" s="364" t="s">
        <v>481</v>
      </c>
      <c r="N900" s="121"/>
      <c r="O900" s="346">
        <v>0</v>
      </c>
      <c r="P900" s="346">
        <v>0.99998842592592596</v>
      </c>
      <c r="Q900" s="346">
        <v>0.99998842592592596</v>
      </c>
      <c r="R900" s="366">
        <f>IF(Table6[[#This Row],[Work Start TimeStamp]]="","",(Table6[[#This Row],[Work Start TimeStamp]]-Table6[[#This Row],[Fault Start TimeStamp]])*24)</f>
        <v>23.999722222222225</v>
      </c>
      <c r="S900" s="377">
        <f>(Table6[[#This Row],[Fault Clearance time]]-Table6[[#This Row],[Work Start TimeStamp]])*24</f>
        <v>0</v>
      </c>
      <c r="T900" s="380">
        <f>(Table6[[#This Row],[Fault Clearance time]]-Table6[[#This Row],[Fault Start TimeStamp]])*24</f>
        <v>23.999722222222225</v>
      </c>
      <c r="U900" s="364" t="s">
        <v>498</v>
      </c>
      <c r="V900" s="364" t="s">
        <v>473</v>
      </c>
      <c r="W900" s="356">
        <f>Table6[[#This Row],[Breakdown Time]]*(1/39)</f>
        <v>0.61537749287749288</v>
      </c>
      <c r="X900" s="353" t="s">
        <v>1212</v>
      </c>
      <c r="Y900" s="39" t="s">
        <v>143</v>
      </c>
      <c r="Z900" s="15">
        <v>22127</v>
      </c>
      <c r="AA900" s="123">
        <f>IFERROR((Table6[[#This Row],[Paired WTG Generation for loss calculation]]/24)*Table6[[#This Row],[Breakdown Time]],"")</f>
        <v>22126.743900462967</v>
      </c>
      <c r="AB900" s="121" t="s">
        <v>478</v>
      </c>
      <c r="AC900" s="121"/>
      <c r="AD900" s="121"/>
    </row>
    <row r="901" spans="1:30">
      <c r="A901" s="121">
        <f t="shared" ref="A901:A950" si="14">A900+1</f>
        <v>900</v>
      </c>
      <c r="B901" s="381">
        <f>YEAR(Table6[[#This Row],[Date]])+IF(MONTH(Table6[[#This Row],[Date]])&gt;=4,1,0)</f>
        <v>2026</v>
      </c>
      <c r="C901" s="382">
        <f>YEAR(Table6[[#This Row],[Date]])</f>
        <v>2025</v>
      </c>
      <c r="D901" s="39" t="s">
        <v>490</v>
      </c>
      <c r="E901" s="135">
        <f>Table6[[#This Row],[Date]]-DAY(Table6[[#This Row],[Date]])+1</f>
        <v>45809</v>
      </c>
      <c r="F901" s="383">
        <v>45838</v>
      </c>
      <c r="G901" s="121" t="s">
        <v>142</v>
      </c>
      <c r="H901" s="39" t="str">
        <f>_xlfn.XLOOKUP(Table6[[#This Row],[Affected WTG]],'Basic Data'!$A:$A,'Basic Data'!$B:$B)</f>
        <v>PWEGPL</v>
      </c>
      <c r="I901" s="39" t="str">
        <f>_xlfn.XLOOKUP(Table6[[#This Row],[Affected WTG]],'Basic Data'!$A:$A,'Basic Data'!$C:$C)</f>
        <v>MSEDCL</v>
      </c>
      <c r="J901" s="389">
        <f>IFERROR(VLOOKUP(Table6[[#This Row],[Affected WTG]],'Basic Data'!$A$3:$E$56,5,0),"")</f>
        <v>2.564102564102564E-2</v>
      </c>
      <c r="K901" s="121" t="s">
        <v>492</v>
      </c>
      <c r="L901" s="386" t="str">
        <f>IFERROR(VLOOKUP(Table6[[#This Row],[Error Code]],'Basic Data'!$T:$U,2,0),"")</f>
        <v>Manual Stop - Safety Related</v>
      </c>
      <c r="M901" s="364" t="s">
        <v>481</v>
      </c>
      <c r="N901" s="121"/>
      <c r="O901" s="346">
        <v>0</v>
      </c>
      <c r="P901" s="346">
        <v>0.99998842592592596</v>
      </c>
      <c r="Q901" s="346">
        <v>0.99998842592592596</v>
      </c>
      <c r="R901" s="366">
        <f>IF(Table6[[#This Row],[Work Start TimeStamp]]="","",(Table6[[#This Row],[Work Start TimeStamp]]-Table6[[#This Row],[Fault Start TimeStamp]])*24)</f>
        <v>23.999722222222225</v>
      </c>
      <c r="S901" s="377">
        <f>(Table6[[#This Row],[Fault Clearance time]]-Table6[[#This Row],[Work Start TimeStamp]])*24</f>
        <v>0</v>
      </c>
      <c r="T901" s="380">
        <f>(Table6[[#This Row],[Fault Clearance time]]-Table6[[#This Row],[Fault Start TimeStamp]])*24</f>
        <v>23.999722222222225</v>
      </c>
      <c r="U901" s="364" t="s">
        <v>498</v>
      </c>
      <c r="V901" s="364" t="s">
        <v>473</v>
      </c>
      <c r="W901" s="356">
        <f>Table6[[#This Row],[Breakdown Time]]*(1/39)</f>
        <v>0.61537749287749288</v>
      </c>
      <c r="X901" s="353" t="s">
        <v>1212</v>
      </c>
      <c r="Y901" s="39" t="s">
        <v>143</v>
      </c>
      <c r="Z901" s="15">
        <v>22127</v>
      </c>
      <c r="AA901" s="123">
        <f>IFERROR((Table6[[#This Row],[Paired WTG Generation for loss calculation]]/24)*Table6[[#This Row],[Breakdown Time]],"")</f>
        <v>22126.743900462967</v>
      </c>
      <c r="AB901" s="121" t="s">
        <v>478</v>
      </c>
      <c r="AC901" s="121"/>
      <c r="AD901" s="121"/>
    </row>
    <row r="902" spans="1:30">
      <c r="A902" s="121">
        <f t="shared" si="14"/>
        <v>901</v>
      </c>
      <c r="B902" s="381">
        <f>YEAR(Table6[[#This Row],[Date]])+IF(MONTH(Table6[[#This Row],[Date]])&gt;=4,1,0)</f>
        <v>2026</v>
      </c>
      <c r="C902" s="382">
        <f>YEAR(Table6[[#This Row],[Date]])</f>
        <v>2025</v>
      </c>
      <c r="D902" s="39" t="s">
        <v>490</v>
      </c>
      <c r="E902" s="135">
        <f>Table6[[#This Row],[Date]]-DAY(Table6[[#This Row],[Date]])+1</f>
        <v>45809</v>
      </c>
      <c r="F902" s="383">
        <v>45838</v>
      </c>
      <c r="G902" s="121" t="s">
        <v>131</v>
      </c>
      <c r="H902" s="39" t="str">
        <f>_xlfn.XLOOKUP(Table6[[#This Row],[Affected WTG]],'Basic Data'!$A:$A,'Basic Data'!$B:$B)</f>
        <v>PWEGPL</v>
      </c>
      <c r="I902" s="39" t="str">
        <f>_xlfn.XLOOKUP(Table6[[#This Row],[Affected WTG]],'Basic Data'!$A:$A,'Basic Data'!$C:$C)</f>
        <v>MSEDCL</v>
      </c>
      <c r="J902" s="389">
        <f>IFERROR(VLOOKUP(Table6[[#This Row],[Affected WTG]],'Basic Data'!$A$3:$E$56,5,0),"")</f>
        <v>2.564102564102564E-2</v>
      </c>
      <c r="K902" s="121" t="s">
        <v>492</v>
      </c>
      <c r="L902" s="386" t="str">
        <f>IFERROR(VLOOKUP(Table6[[#This Row],[Error Code]],'Basic Data'!$T:$U,2,0),"")</f>
        <v>Manual Stop - Safety Related</v>
      </c>
      <c r="M902" s="364" t="s">
        <v>462</v>
      </c>
      <c r="N902" s="121"/>
      <c r="O902" s="346">
        <v>0</v>
      </c>
      <c r="P902" s="346">
        <v>0.99998842592592596</v>
      </c>
      <c r="Q902" s="346">
        <v>0.99998842592592596</v>
      </c>
      <c r="R902" s="366">
        <f>IF(Table6[[#This Row],[Work Start TimeStamp]]="","",(Table6[[#This Row],[Work Start TimeStamp]]-Table6[[#This Row],[Fault Start TimeStamp]])*24)</f>
        <v>23.999722222222225</v>
      </c>
      <c r="S902" s="377">
        <f>(Table6[[#This Row],[Fault Clearance time]]-Table6[[#This Row],[Work Start TimeStamp]])*24</f>
        <v>0</v>
      </c>
      <c r="T902" s="380">
        <f>(Table6[[#This Row],[Fault Clearance time]]-Table6[[#This Row],[Fault Start TimeStamp]])*24</f>
        <v>23.999722222222225</v>
      </c>
      <c r="U902" s="364" t="s">
        <v>1247</v>
      </c>
      <c r="V902" s="364" t="s">
        <v>473</v>
      </c>
      <c r="W902" s="356">
        <f>Table6[[#This Row],[Breakdown Time]]*(1/39)</f>
        <v>0.61537749287749288</v>
      </c>
      <c r="X902" s="353" t="s">
        <v>465</v>
      </c>
      <c r="Y902" s="364" t="s">
        <v>132</v>
      </c>
      <c r="Z902" s="15">
        <v>22013</v>
      </c>
      <c r="AA902" s="123">
        <f>IFERROR((Table6[[#This Row],[Paired WTG Generation for loss calculation]]/24)*Table6[[#This Row],[Breakdown Time]],"")</f>
        <v>22012.745219907411</v>
      </c>
      <c r="AB902" s="121" t="s">
        <v>478</v>
      </c>
      <c r="AC902" s="121"/>
      <c r="AD902" s="121"/>
    </row>
    <row r="903" spans="1:30">
      <c r="A903" s="121">
        <f t="shared" si="14"/>
        <v>902</v>
      </c>
      <c r="B903" s="381">
        <f>YEAR(Table6[[#This Row],[Date]])+IF(MONTH(Table6[[#This Row],[Date]])&gt;=4,1,0)</f>
        <v>2026</v>
      </c>
      <c r="C903" s="382">
        <f>YEAR(Table6[[#This Row],[Date]])</f>
        <v>2025</v>
      </c>
      <c r="D903" s="39" t="s">
        <v>490</v>
      </c>
      <c r="E903" s="135">
        <f>Table6[[#This Row],[Date]]-DAY(Table6[[#This Row],[Date]])+1</f>
        <v>45809</v>
      </c>
      <c r="F903" s="383">
        <v>45838</v>
      </c>
      <c r="G903" s="384" t="s">
        <v>151</v>
      </c>
      <c r="H903" s="39" t="str">
        <f>_xlfn.XLOOKUP(Table6[[#This Row],[Affected WTG]],'Basic Data'!$A:$A,'Basic Data'!$B:$B)</f>
        <v>PWEGPL</v>
      </c>
      <c r="I903" s="39" t="str">
        <f>_xlfn.XLOOKUP(Table6[[#This Row],[Affected WTG]],'Basic Data'!$A:$A,'Basic Data'!$C:$C)</f>
        <v>MSEDCL</v>
      </c>
      <c r="J903" s="389">
        <f>IFERROR(VLOOKUP(Table6[[#This Row],[Affected WTG]],'Basic Data'!$A$3:$E$56,5,0),"")</f>
        <v>2.564102564102564E-2</v>
      </c>
      <c r="K903" s="121" t="s">
        <v>466</v>
      </c>
      <c r="L903" s="386" t="str">
        <f>IFERROR(VLOOKUP(Table6[[#This Row],[Error Code]],'Basic Data'!$T:$U,2,0),"")</f>
        <v>Manual Stop</v>
      </c>
      <c r="M903" s="364" t="s">
        <v>481</v>
      </c>
      <c r="N903" s="121"/>
      <c r="O903" s="346">
        <v>0.53472222222222221</v>
      </c>
      <c r="P903" s="346">
        <v>0.53472222222222221</v>
      </c>
      <c r="Q903" s="346">
        <v>0.62847222222222221</v>
      </c>
      <c r="R903" s="366">
        <f>IF(Table6[[#This Row],[Work Start TimeStamp]]="","",(Table6[[#This Row],[Work Start TimeStamp]]-Table6[[#This Row],[Fault Start TimeStamp]])*24)</f>
        <v>0</v>
      </c>
      <c r="S903" s="377">
        <f>(Table6[[#This Row],[Fault Clearance time]]-Table6[[#This Row],[Work Start TimeStamp]])*24</f>
        <v>2.25</v>
      </c>
      <c r="T903" s="380">
        <f>(Table6[[#This Row],[Fault Clearance time]]-Table6[[#This Row],[Fault Start TimeStamp]])*24</f>
        <v>2.25</v>
      </c>
      <c r="U903" s="364" t="s">
        <v>1325</v>
      </c>
      <c r="V903" s="364" t="s">
        <v>463</v>
      </c>
      <c r="W903" s="356">
        <f>Table6[[#This Row],[Breakdown Time]]*(1/39)</f>
        <v>5.7692307692307689E-2</v>
      </c>
      <c r="X903" s="353" t="s">
        <v>1212</v>
      </c>
      <c r="Y903" s="364" t="s">
        <v>152</v>
      </c>
      <c r="Z903" s="15">
        <v>22234</v>
      </c>
      <c r="AA903" s="123">
        <f>IFERROR((Table6[[#This Row],[Paired WTG Generation for loss calculation]]/24)*Table6[[#This Row],[Breakdown Time]],"")</f>
        <v>2084.4375</v>
      </c>
      <c r="AB903" s="121" t="s">
        <v>478</v>
      </c>
      <c r="AC903" s="121"/>
      <c r="AD903" s="121"/>
    </row>
    <row r="904" spans="1:30">
      <c r="A904" s="121">
        <f t="shared" si="14"/>
        <v>903</v>
      </c>
      <c r="B904" s="381">
        <f>YEAR(Table6[[#This Row],[Date]])+IF(MONTH(Table6[[#This Row],[Date]])&gt;=4,1,0)</f>
        <v>2026</v>
      </c>
      <c r="C904" s="382">
        <f>YEAR(Table6[[#This Row],[Date]])</f>
        <v>2025</v>
      </c>
      <c r="D904" s="39" t="s">
        <v>490</v>
      </c>
      <c r="E904" s="135">
        <f>Table6[[#This Row],[Date]]-DAY(Table6[[#This Row],[Date]])+1</f>
        <v>45809</v>
      </c>
      <c r="F904" s="383">
        <v>45838</v>
      </c>
      <c r="G904" s="384" t="s">
        <v>151</v>
      </c>
      <c r="H904" s="39" t="str">
        <f>_xlfn.XLOOKUP(Table6[[#This Row],[Affected WTG]],'Basic Data'!$A:$A,'Basic Data'!$B:$B)</f>
        <v>PWEGPL</v>
      </c>
      <c r="I904" s="39" t="str">
        <f>_xlfn.XLOOKUP(Table6[[#This Row],[Affected WTG]],'Basic Data'!$A:$A,'Basic Data'!$C:$C)</f>
        <v>MSEDCL</v>
      </c>
      <c r="J904" s="389">
        <f>IFERROR(VLOOKUP(Table6[[#This Row],[Affected WTG]],'Basic Data'!$A$3:$E$56,5,0),"")</f>
        <v>2.564102564102564E-2</v>
      </c>
      <c r="K904" s="121" t="s">
        <v>492</v>
      </c>
      <c r="L904" s="386" t="str">
        <f>IFERROR(VLOOKUP(Table6[[#This Row],[Error Code]],'Basic Data'!$T:$U,2,0),"")</f>
        <v>Manual Stop - Safety Related</v>
      </c>
      <c r="M904" s="364" t="s">
        <v>507</v>
      </c>
      <c r="N904" s="121"/>
      <c r="O904" s="346">
        <v>0.62847222222222221</v>
      </c>
      <c r="P904" s="346">
        <v>0.62847222222222221</v>
      </c>
      <c r="Q904" s="346">
        <v>0.66319444444444442</v>
      </c>
      <c r="R904" s="366">
        <f>IF(Table6[[#This Row],[Work Start TimeStamp]]="","",(Table6[[#This Row],[Work Start TimeStamp]]-Table6[[#This Row],[Fault Start TimeStamp]])*24)</f>
        <v>0</v>
      </c>
      <c r="S904" s="377">
        <f>(Table6[[#This Row],[Fault Clearance time]]-Table6[[#This Row],[Work Start TimeStamp]])*24</f>
        <v>0.83333333333333304</v>
      </c>
      <c r="T904" s="380">
        <f>(Table6[[#This Row],[Fault Clearance time]]-Table6[[#This Row],[Fault Start TimeStamp]])*24</f>
        <v>0.83333333333333304</v>
      </c>
      <c r="U904" s="364" t="s">
        <v>1308</v>
      </c>
      <c r="V904" s="364" t="s">
        <v>463</v>
      </c>
      <c r="W904" s="356">
        <f>Table6[[#This Row],[Breakdown Time]]*(1/39)</f>
        <v>2.1367521367521358E-2</v>
      </c>
      <c r="X904" s="353" t="s">
        <v>1212</v>
      </c>
      <c r="Y904" s="364" t="s">
        <v>152</v>
      </c>
      <c r="Z904" s="15">
        <v>22234</v>
      </c>
      <c r="AA904" s="123">
        <f>IFERROR((Table6[[#This Row],[Paired WTG Generation for loss calculation]]/24)*Table6[[#This Row],[Breakdown Time]],"")</f>
        <v>772.01388888888857</v>
      </c>
      <c r="AB904" s="121" t="s">
        <v>478</v>
      </c>
      <c r="AC904" s="121"/>
      <c r="AD904" s="121"/>
    </row>
    <row r="905" spans="1:30">
      <c r="A905" s="121">
        <f t="shared" si="14"/>
        <v>904</v>
      </c>
      <c r="B905" s="381">
        <f>YEAR(Table6[[#This Row],[Date]])+IF(MONTH(Table6[[#This Row],[Date]])&gt;=4,1,0)</f>
        <v>2026</v>
      </c>
      <c r="C905" s="382">
        <f>YEAR(Table6[[#This Row],[Date]])</f>
        <v>2025</v>
      </c>
      <c r="D905" s="39" t="s">
        <v>490</v>
      </c>
      <c r="E905" s="135">
        <f>Table6[[#This Row],[Date]]-DAY(Table6[[#This Row],[Date]])+1</f>
        <v>45839</v>
      </c>
      <c r="F905" s="383">
        <v>45839</v>
      </c>
      <c r="G905" s="384" t="s">
        <v>144</v>
      </c>
      <c r="H905" s="39" t="str">
        <f>_xlfn.XLOOKUP(Table6[[#This Row],[Affected WTG]],'Basic Data'!$A:$A,'Basic Data'!$B:$B)</f>
        <v>PWEGPL</v>
      </c>
      <c r="I905" s="39" t="str">
        <f>_xlfn.XLOOKUP(Table6[[#This Row],[Affected WTG]],'Basic Data'!$A:$A,'Basic Data'!$C:$C)</f>
        <v>MSEDCL</v>
      </c>
      <c r="J905" s="389">
        <f>IFERROR(VLOOKUP(Table6[[#This Row],[Affected WTG]],'Basic Data'!$A$3:$E$56,5,0),"")</f>
        <v>2.564102564102564E-2</v>
      </c>
      <c r="K905" s="121" t="s">
        <v>492</v>
      </c>
      <c r="L905" s="386" t="str">
        <f>IFERROR(VLOOKUP(Table6[[#This Row],[Error Code]],'Basic Data'!$T:$U,2,0),"")</f>
        <v>Manual Stop - Safety Related</v>
      </c>
      <c r="M905" s="364" t="s">
        <v>481</v>
      </c>
      <c r="N905" s="121"/>
      <c r="O905" s="346">
        <v>0</v>
      </c>
      <c r="P905" s="346">
        <v>0.99998842592592596</v>
      </c>
      <c r="Q905" s="346">
        <v>0.99998842592592596</v>
      </c>
      <c r="R905" s="366">
        <f>IF(Table6[[#This Row],[Work Start TimeStamp]]="","",(Table6[[#This Row],[Work Start TimeStamp]]-Table6[[#This Row],[Fault Start TimeStamp]])*24)</f>
        <v>23.999722222222225</v>
      </c>
      <c r="S905" s="377">
        <f>(Table6[[#This Row],[Fault Clearance time]]-Table6[[#This Row],[Work Start TimeStamp]])*24</f>
        <v>0</v>
      </c>
      <c r="T905" s="380">
        <f>(Table6[[#This Row],[Fault Clearance time]]-Table6[[#This Row],[Fault Start TimeStamp]])*24</f>
        <v>23.999722222222225</v>
      </c>
      <c r="U905" s="364" t="s">
        <v>498</v>
      </c>
      <c r="V905" s="364" t="s">
        <v>473</v>
      </c>
      <c r="W905" s="356">
        <f>Table6[[#This Row],[Breakdown Time]]*(1/39)</f>
        <v>0.61537749287749288</v>
      </c>
      <c r="X905" s="353" t="s">
        <v>1212</v>
      </c>
      <c r="Y905" s="39" t="s">
        <v>143</v>
      </c>
      <c r="Z905" s="15">
        <v>21100</v>
      </c>
      <c r="AA905" s="123">
        <f>IFERROR((Table6[[#This Row],[Paired WTG Generation for loss calculation]]/24)*Table6[[#This Row],[Breakdown Time]],"")</f>
        <v>21099.75578703704</v>
      </c>
      <c r="AB905" s="121" t="s">
        <v>478</v>
      </c>
      <c r="AC905" s="121"/>
      <c r="AD905" s="121"/>
    </row>
    <row r="906" spans="1:30">
      <c r="A906" s="121">
        <f t="shared" si="14"/>
        <v>905</v>
      </c>
      <c r="B906" s="381">
        <f>YEAR(Table6[[#This Row],[Date]])+IF(MONTH(Table6[[#This Row],[Date]])&gt;=4,1,0)</f>
        <v>2026</v>
      </c>
      <c r="C906" s="382">
        <f>YEAR(Table6[[#This Row],[Date]])</f>
        <v>2025</v>
      </c>
      <c r="D906" s="39" t="s">
        <v>490</v>
      </c>
      <c r="E906" s="135">
        <f>Table6[[#This Row],[Date]]-DAY(Table6[[#This Row],[Date]])+1</f>
        <v>45839</v>
      </c>
      <c r="F906" s="383">
        <v>45839</v>
      </c>
      <c r="G906" s="121" t="s">
        <v>142</v>
      </c>
      <c r="H906" s="39" t="str">
        <f>_xlfn.XLOOKUP(Table6[[#This Row],[Affected WTG]],'Basic Data'!$A:$A,'Basic Data'!$B:$B)</f>
        <v>PWEGPL</v>
      </c>
      <c r="I906" s="39" t="str">
        <f>_xlfn.XLOOKUP(Table6[[#This Row],[Affected WTG]],'Basic Data'!$A:$A,'Basic Data'!$C:$C)</f>
        <v>MSEDCL</v>
      </c>
      <c r="J906" s="389">
        <f>IFERROR(VLOOKUP(Table6[[#This Row],[Affected WTG]],'Basic Data'!$A$3:$E$56,5,0),"")</f>
        <v>2.564102564102564E-2</v>
      </c>
      <c r="K906" s="121" t="s">
        <v>492</v>
      </c>
      <c r="L906" s="386" t="str">
        <f>IFERROR(VLOOKUP(Table6[[#This Row],[Error Code]],'Basic Data'!$T:$U,2,0),"")</f>
        <v>Manual Stop - Safety Related</v>
      </c>
      <c r="M906" s="364" t="s">
        <v>481</v>
      </c>
      <c r="N906" s="121"/>
      <c r="O906" s="346">
        <v>0</v>
      </c>
      <c r="P906" s="346">
        <v>0.99998842592592596</v>
      </c>
      <c r="Q906" s="346">
        <v>0.99998842592592596</v>
      </c>
      <c r="R906" s="366">
        <f>IF(Table6[[#This Row],[Work Start TimeStamp]]="","",(Table6[[#This Row],[Work Start TimeStamp]]-Table6[[#This Row],[Fault Start TimeStamp]])*24)</f>
        <v>23.999722222222225</v>
      </c>
      <c r="S906" s="377">
        <f>(Table6[[#This Row],[Fault Clearance time]]-Table6[[#This Row],[Work Start TimeStamp]])*24</f>
        <v>0</v>
      </c>
      <c r="T906" s="380">
        <f>(Table6[[#This Row],[Fault Clearance time]]-Table6[[#This Row],[Fault Start TimeStamp]])*24</f>
        <v>23.999722222222225</v>
      </c>
      <c r="U906" s="364" t="s">
        <v>498</v>
      </c>
      <c r="V906" s="364" t="s">
        <v>473</v>
      </c>
      <c r="W906" s="356">
        <f>Table6[[#This Row],[Breakdown Time]]*(1/39)</f>
        <v>0.61537749287749288</v>
      </c>
      <c r="X906" s="353" t="s">
        <v>1212</v>
      </c>
      <c r="Y906" s="39" t="s">
        <v>143</v>
      </c>
      <c r="Z906" s="15">
        <v>21100</v>
      </c>
      <c r="AA906" s="123">
        <f>IFERROR((Table6[[#This Row],[Paired WTG Generation for loss calculation]]/24)*Table6[[#This Row],[Breakdown Time]],"")</f>
        <v>21099.75578703704</v>
      </c>
      <c r="AB906" s="121" t="s">
        <v>478</v>
      </c>
      <c r="AC906" s="121"/>
      <c r="AD906" s="121"/>
    </row>
    <row r="907" spans="1:30">
      <c r="A907" s="121">
        <f t="shared" si="14"/>
        <v>906</v>
      </c>
      <c r="B907" s="381">
        <f>YEAR(Table6[[#This Row],[Date]])+IF(MONTH(Table6[[#This Row],[Date]])&gt;=4,1,0)</f>
        <v>2026</v>
      </c>
      <c r="C907" s="382">
        <f>YEAR(Table6[[#This Row],[Date]])</f>
        <v>2025</v>
      </c>
      <c r="D907" s="39" t="s">
        <v>490</v>
      </c>
      <c r="E907" s="135">
        <f>Table6[[#This Row],[Date]]-DAY(Table6[[#This Row],[Date]])+1</f>
        <v>45839</v>
      </c>
      <c r="F907" s="383">
        <v>45839</v>
      </c>
      <c r="G907" s="121" t="s">
        <v>131</v>
      </c>
      <c r="H907" s="39" t="str">
        <f>_xlfn.XLOOKUP(Table6[[#This Row],[Affected WTG]],'Basic Data'!$A:$A,'Basic Data'!$B:$B)</f>
        <v>PWEGPL</v>
      </c>
      <c r="I907" s="39" t="str">
        <f>_xlfn.XLOOKUP(Table6[[#This Row],[Affected WTG]],'Basic Data'!$A:$A,'Basic Data'!$C:$C)</f>
        <v>MSEDCL</v>
      </c>
      <c r="J907" s="389">
        <f>IFERROR(VLOOKUP(Table6[[#This Row],[Affected WTG]],'Basic Data'!$A$3:$E$56,5,0),"")</f>
        <v>2.564102564102564E-2</v>
      </c>
      <c r="K907" s="121" t="s">
        <v>492</v>
      </c>
      <c r="L907" s="386" t="str">
        <f>IFERROR(VLOOKUP(Table6[[#This Row],[Error Code]],'Basic Data'!$T:$U,2,0),"")</f>
        <v>Manual Stop - Safety Related</v>
      </c>
      <c r="M907" s="364" t="s">
        <v>462</v>
      </c>
      <c r="N907" s="121"/>
      <c r="O907" s="346">
        <v>0</v>
      </c>
      <c r="P907" s="346">
        <v>0.99998842592592596</v>
      </c>
      <c r="Q907" s="346">
        <v>0.99998842592592596</v>
      </c>
      <c r="R907" s="366">
        <f>IF(Table6[[#This Row],[Work Start TimeStamp]]="","",(Table6[[#This Row],[Work Start TimeStamp]]-Table6[[#This Row],[Fault Start TimeStamp]])*24)</f>
        <v>23.999722222222225</v>
      </c>
      <c r="S907" s="377">
        <f>(Table6[[#This Row],[Fault Clearance time]]-Table6[[#This Row],[Work Start TimeStamp]])*24</f>
        <v>0</v>
      </c>
      <c r="T907" s="380">
        <f>(Table6[[#This Row],[Fault Clearance time]]-Table6[[#This Row],[Fault Start TimeStamp]])*24</f>
        <v>23.999722222222225</v>
      </c>
      <c r="U907" s="364" t="s">
        <v>1247</v>
      </c>
      <c r="V907" s="364" t="s">
        <v>473</v>
      </c>
      <c r="W907" s="356">
        <f>Table6[[#This Row],[Breakdown Time]]*(1/39)</f>
        <v>0.61537749287749288</v>
      </c>
      <c r="X907" s="353" t="s">
        <v>465</v>
      </c>
      <c r="Y907" s="364" t="s">
        <v>132</v>
      </c>
      <c r="Z907" s="15">
        <v>27820</v>
      </c>
      <c r="AA907" s="123">
        <f>IFERROR((Table6[[#This Row],[Paired WTG Generation for loss calculation]]/24)*Table6[[#This Row],[Breakdown Time]],"")</f>
        <v>27819.678009259263</v>
      </c>
      <c r="AB907" s="121" t="s">
        <v>478</v>
      </c>
      <c r="AC907" s="121"/>
      <c r="AD907" s="121"/>
    </row>
    <row r="908" spans="1:30">
      <c r="A908" s="121">
        <f t="shared" si="14"/>
        <v>907</v>
      </c>
      <c r="B908" s="381">
        <f>YEAR(Table6[[#This Row],[Date]])+IF(MONTH(Table6[[#This Row],[Date]])&gt;=4,1,0)</f>
        <v>2026</v>
      </c>
      <c r="C908" s="382">
        <f>YEAR(Table6[[#This Row],[Date]])</f>
        <v>2025</v>
      </c>
      <c r="D908" s="39" t="s">
        <v>490</v>
      </c>
      <c r="E908" s="135">
        <f>Table6[[#This Row],[Date]]-DAY(Table6[[#This Row],[Date]])+1</f>
        <v>45839</v>
      </c>
      <c r="F908" s="383">
        <v>45839</v>
      </c>
      <c r="G908" s="384" t="s">
        <v>145</v>
      </c>
      <c r="H908" s="39" t="str">
        <f>_xlfn.XLOOKUP(Table6[[#This Row],[Affected WTG]],'Basic Data'!$A:$A,'Basic Data'!$B:$B)</f>
        <v>PWEGPL</v>
      </c>
      <c r="I908" s="39" t="str">
        <f>_xlfn.XLOOKUP(Table6[[#This Row],[Affected WTG]],'Basic Data'!$A:$A,'Basic Data'!$C:$C)</f>
        <v>MSEDCL</v>
      </c>
      <c r="J908" s="389">
        <f>IFERROR(VLOOKUP(Table6[[#This Row],[Affected WTG]],'Basic Data'!$A$3:$E$56,5,0),"")</f>
        <v>2.564102564102564E-2</v>
      </c>
      <c r="K908" s="121">
        <v>552</v>
      </c>
      <c r="L908" s="386" t="str">
        <f>IFERROR(VLOOKUP(Table6[[#This Row],[Error Code]],'Basic Data'!$T:$U,2,0),"")</f>
        <v>Wear Brushes Generator Triggered Too Long</v>
      </c>
      <c r="M908" s="364" t="s">
        <v>462</v>
      </c>
      <c r="N908" s="121"/>
      <c r="O908" s="346">
        <v>0.4861111111111111</v>
      </c>
      <c r="P908" s="346">
        <v>0.50694444444444442</v>
      </c>
      <c r="Q908" s="346">
        <v>0.54305555555555551</v>
      </c>
      <c r="R908" s="390">
        <f>IF(Table6[[#This Row],[Work Start TimeStamp]]="","",(Table6[[#This Row],[Work Start TimeStamp]]-Table6[[#This Row],[Fault Start TimeStamp]])*24)</f>
        <v>0.49999999999999956</v>
      </c>
      <c r="S908" s="390">
        <f>(Table6[[#This Row],[Fault Clearance time]]-Table6[[#This Row],[Work Start TimeStamp]])*24</f>
        <v>0.86666666666666625</v>
      </c>
      <c r="T908" s="391">
        <f>(Table6[[#This Row],[Fault Clearance time]]-Table6[[#This Row],[Fault Start TimeStamp]])*24</f>
        <v>1.3666666666666658</v>
      </c>
      <c r="U908" s="364" t="s">
        <v>1326</v>
      </c>
      <c r="V908" s="364" t="s">
        <v>463</v>
      </c>
      <c r="W908" s="356">
        <f>Table6[[#This Row],[Breakdown Time]]*(1/39)</f>
        <v>3.5042735042735022E-2</v>
      </c>
      <c r="X908" s="353" t="s">
        <v>465</v>
      </c>
      <c r="Y908" s="364" t="s">
        <v>139</v>
      </c>
      <c r="Z908" s="15">
        <v>20160</v>
      </c>
      <c r="AA908" s="123">
        <f>IFERROR((Table6[[#This Row],[Paired WTG Generation for loss calculation]]/24)*Table6[[#This Row],[Breakdown Time]],"")</f>
        <v>1147.9999999999993</v>
      </c>
      <c r="AB908" s="121" t="s">
        <v>478</v>
      </c>
      <c r="AC908" s="121"/>
      <c r="AD908" s="121"/>
    </row>
    <row r="909" spans="1:30">
      <c r="A909" s="121">
        <f t="shared" si="14"/>
        <v>908</v>
      </c>
      <c r="B909" s="381">
        <f>YEAR(Table6[[#This Row],[Date]])+IF(MONTH(Table6[[#This Row],[Date]])&gt;=4,1,0)</f>
        <v>2026</v>
      </c>
      <c r="C909" s="382">
        <f>YEAR(Table6[[#This Row],[Date]])</f>
        <v>2025</v>
      </c>
      <c r="D909" s="39" t="s">
        <v>490</v>
      </c>
      <c r="E909" s="135">
        <f>Table6[[#This Row],[Date]]-DAY(Table6[[#This Row],[Date]])+1</f>
        <v>45839</v>
      </c>
      <c r="F909" s="383">
        <v>45839</v>
      </c>
      <c r="G909" s="384" t="s">
        <v>145</v>
      </c>
      <c r="H909" s="39" t="str">
        <f>_xlfn.XLOOKUP(Table6[[#This Row],[Affected WTG]],'Basic Data'!$A:$A,'Basic Data'!$B:$B)</f>
        <v>PWEGPL</v>
      </c>
      <c r="I909" s="39" t="str">
        <f>_xlfn.XLOOKUP(Table6[[#This Row],[Affected WTG]],'Basic Data'!$A:$A,'Basic Data'!$C:$C)</f>
        <v>MSEDCL</v>
      </c>
      <c r="J909" s="389">
        <f>IFERROR(VLOOKUP(Table6[[#This Row],[Affected WTG]],'Basic Data'!$A$3:$E$56,5,0),"")</f>
        <v>2.564102564102564E-2</v>
      </c>
      <c r="K909" s="121">
        <v>2118</v>
      </c>
      <c r="L909" s="386" t="str">
        <f>IFERROR(VLOOKUP(Table6[[#This Row],[Error Code]],'Basic Data'!$T:$U,2,0),"")</f>
        <v>Bus Error - Interbus Failure</v>
      </c>
      <c r="M909" s="364" t="s">
        <v>462</v>
      </c>
      <c r="N909" s="121"/>
      <c r="O909" s="346">
        <v>0.68402777777777779</v>
      </c>
      <c r="P909" s="346">
        <v>0.70972222222222225</v>
      </c>
      <c r="Q909" s="346">
        <v>0.71111111111111114</v>
      </c>
      <c r="R909" s="390">
        <f>IF(Table6[[#This Row],[Work Start TimeStamp]]="","",(Table6[[#This Row],[Work Start TimeStamp]]-Table6[[#This Row],[Fault Start TimeStamp]])*24)</f>
        <v>0.61666666666666714</v>
      </c>
      <c r="S909" s="390">
        <f>(Table6[[#This Row],[Fault Clearance time]]-Table6[[#This Row],[Work Start TimeStamp]])*24</f>
        <v>3.3333333333333215E-2</v>
      </c>
      <c r="T909" s="391">
        <f>(Table6[[#This Row],[Fault Clearance time]]-Table6[[#This Row],[Fault Start TimeStamp]])*24</f>
        <v>0.65000000000000036</v>
      </c>
      <c r="U909" s="364" t="s">
        <v>493</v>
      </c>
      <c r="V909" s="364" t="s">
        <v>463</v>
      </c>
      <c r="W909" s="356">
        <f>Table6[[#This Row],[Breakdown Time]]*(1/39)</f>
        <v>1.6666666666666677E-2</v>
      </c>
      <c r="X909" s="353" t="s">
        <v>465</v>
      </c>
      <c r="Y909" s="364" t="s">
        <v>139</v>
      </c>
      <c r="Z909" s="15">
        <v>20160</v>
      </c>
      <c r="AA909" s="123">
        <f>IFERROR((Table6[[#This Row],[Paired WTG Generation for loss calculation]]/24)*Table6[[#This Row],[Breakdown Time]],"")</f>
        <v>546.00000000000034</v>
      </c>
      <c r="AB909" s="121" t="s">
        <v>478</v>
      </c>
      <c r="AC909" s="121"/>
      <c r="AD909" s="121"/>
    </row>
    <row r="910" spans="1:30">
      <c r="A910" s="121">
        <f t="shared" si="14"/>
        <v>909</v>
      </c>
      <c r="B910" s="381">
        <f>YEAR(Table6[[#This Row],[Date]])+IF(MONTH(Table6[[#This Row],[Date]])&gt;=4,1,0)</f>
        <v>2026</v>
      </c>
      <c r="C910" s="382">
        <f>YEAR(Table6[[#This Row],[Date]])</f>
        <v>2025</v>
      </c>
      <c r="D910" s="39" t="s">
        <v>490</v>
      </c>
      <c r="E910" s="135">
        <f>Table6[[#This Row],[Date]]-DAY(Table6[[#This Row],[Date]])+1</f>
        <v>45839</v>
      </c>
      <c r="F910" s="383">
        <v>45839</v>
      </c>
      <c r="G910" s="384" t="s">
        <v>136</v>
      </c>
      <c r="H910" s="39" t="str">
        <f>_xlfn.XLOOKUP(Table6[[#This Row],[Affected WTG]],'Basic Data'!$A:$A,'Basic Data'!$B:$B)</f>
        <v>PWEGPL</v>
      </c>
      <c r="I910" s="39" t="str">
        <f>_xlfn.XLOOKUP(Table6[[#This Row],[Affected WTG]],'Basic Data'!$A:$A,'Basic Data'!$C:$C)</f>
        <v>MSEDCL</v>
      </c>
      <c r="J910" s="389">
        <f>IFERROR(VLOOKUP(Table6[[#This Row],[Affected WTG]],'Basic Data'!$A$3:$E$56,5,0),"")</f>
        <v>2.564102564102564E-2</v>
      </c>
      <c r="K910" s="121" t="s">
        <v>492</v>
      </c>
      <c r="L910" s="386" t="str">
        <f>IFERROR(VLOOKUP(Table6[[#This Row],[Error Code]],'Basic Data'!$T:$U,2,0),"")</f>
        <v>Manual Stop - Safety Related</v>
      </c>
      <c r="M910" s="364" t="s">
        <v>481</v>
      </c>
      <c r="N910" s="121"/>
      <c r="O910" s="346">
        <v>0.55208333333333337</v>
      </c>
      <c r="P910" s="346">
        <v>0.55208333333333337</v>
      </c>
      <c r="Q910" s="346">
        <v>0.69722222222222219</v>
      </c>
      <c r="R910" s="390">
        <f>IF(Table6[[#This Row],[Work Start TimeStamp]]="","",(Table6[[#This Row],[Work Start TimeStamp]]-Table6[[#This Row],[Fault Start TimeStamp]])*24)</f>
        <v>0</v>
      </c>
      <c r="S910" s="390">
        <f>(Table6[[#This Row],[Fault Clearance time]]-Table6[[#This Row],[Work Start TimeStamp]])*24</f>
        <v>3.4833333333333316</v>
      </c>
      <c r="T910" s="391">
        <f>(Table6[[#This Row],[Fault Clearance time]]-Table6[[#This Row],[Fault Start TimeStamp]])*24</f>
        <v>3.4833333333333316</v>
      </c>
      <c r="U910" s="364" t="s">
        <v>501</v>
      </c>
      <c r="V910" s="364" t="s">
        <v>463</v>
      </c>
      <c r="W910" s="356">
        <f>Table6[[#This Row],[Breakdown Time]]*(1/39)</f>
        <v>8.9316239316239263E-2</v>
      </c>
      <c r="X910" s="353" t="s">
        <v>1212</v>
      </c>
      <c r="Y910" s="364" t="s">
        <v>135</v>
      </c>
      <c r="Z910" s="15">
        <v>21150</v>
      </c>
      <c r="AA910" s="123">
        <f>IFERROR((Table6[[#This Row],[Paired WTG Generation for loss calculation]]/24)*Table6[[#This Row],[Breakdown Time]],"")</f>
        <v>3069.6874999999986</v>
      </c>
      <c r="AB910" s="121" t="s">
        <v>478</v>
      </c>
      <c r="AC910" s="121"/>
      <c r="AD910" s="121"/>
    </row>
    <row r="911" spans="1:30">
      <c r="A911" s="121">
        <f t="shared" si="14"/>
        <v>910</v>
      </c>
      <c r="B911" s="381">
        <f>YEAR(Table6[[#This Row],[Date]])+IF(MONTH(Table6[[#This Row],[Date]])&gt;=4,1,0)</f>
        <v>2026</v>
      </c>
      <c r="C911" s="382">
        <f>YEAR(Table6[[#This Row],[Date]])</f>
        <v>2025</v>
      </c>
      <c r="D911" s="39" t="s">
        <v>490</v>
      </c>
      <c r="E911" s="135">
        <f>Table6[[#This Row],[Date]]-DAY(Table6[[#This Row],[Date]])+1</f>
        <v>45839</v>
      </c>
      <c r="F911" s="383">
        <v>45840</v>
      </c>
      <c r="G911" s="384" t="s">
        <v>144</v>
      </c>
      <c r="H911" s="39" t="str">
        <f>_xlfn.XLOOKUP(Table6[[#This Row],[Affected WTG]],'Basic Data'!$A:$A,'Basic Data'!$B:$B)</f>
        <v>PWEGPL</v>
      </c>
      <c r="I911" s="39" t="str">
        <f>_xlfn.XLOOKUP(Table6[[#This Row],[Affected WTG]],'Basic Data'!$A:$A,'Basic Data'!$C:$C)</f>
        <v>MSEDCL</v>
      </c>
      <c r="J911" s="389">
        <f>IFERROR(VLOOKUP(Table6[[#This Row],[Affected WTG]],'Basic Data'!$A$3:$E$56,5,0),"")</f>
        <v>2.564102564102564E-2</v>
      </c>
      <c r="K911" s="121" t="s">
        <v>492</v>
      </c>
      <c r="L911" s="386" t="str">
        <f>IFERROR(VLOOKUP(Table6[[#This Row],[Error Code]],'Basic Data'!$T:$U,2,0),"")</f>
        <v>Manual Stop - Safety Related</v>
      </c>
      <c r="M911" s="364" t="s">
        <v>481</v>
      </c>
      <c r="N911" s="121"/>
      <c r="O911" s="346">
        <v>0</v>
      </c>
      <c r="P911" s="346">
        <v>0.99998842592592596</v>
      </c>
      <c r="Q911" s="346">
        <v>0.99998842592592596</v>
      </c>
      <c r="R911" s="366">
        <f>IF(Table6[[#This Row],[Work Start TimeStamp]]="","",(Table6[[#This Row],[Work Start TimeStamp]]-Table6[[#This Row],[Fault Start TimeStamp]])*24)</f>
        <v>23.999722222222225</v>
      </c>
      <c r="S911" s="377">
        <f>(Table6[[#This Row],[Fault Clearance time]]-Table6[[#This Row],[Work Start TimeStamp]])*24</f>
        <v>0</v>
      </c>
      <c r="T911" s="380">
        <f>(Table6[[#This Row],[Fault Clearance time]]-Table6[[#This Row],[Fault Start TimeStamp]])*24</f>
        <v>23.999722222222225</v>
      </c>
      <c r="U911" s="364" t="s">
        <v>498</v>
      </c>
      <c r="V911" s="364" t="s">
        <v>473</v>
      </c>
      <c r="W911" s="356">
        <f>Table6[[#This Row],[Breakdown Time]]*(1/39)</f>
        <v>0.61537749287749288</v>
      </c>
      <c r="X911" s="353" t="s">
        <v>1212</v>
      </c>
      <c r="Y911" s="39" t="s">
        <v>143</v>
      </c>
      <c r="Z911" s="15">
        <v>24001</v>
      </c>
      <c r="AA911" s="123">
        <f>IFERROR((Table6[[#This Row],[Paired WTG Generation for loss calculation]]/24)*Table6[[#This Row],[Breakdown Time]],"")</f>
        <v>24000.722210648149</v>
      </c>
      <c r="AB911" s="121" t="s">
        <v>478</v>
      </c>
      <c r="AC911" s="121"/>
      <c r="AD911" s="121"/>
    </row>
    <row r="912" spans="1:30">
      <c r="A912" s="121">
        <f t="shared" si="14"/>
        <v>911</v>
      </c>
      <c r="B912" s="381">
        <f>YEAR(Table6[[#This Row],[Date]])+IF(MONTH(Table6[[#This Row],[Date]])&gt;=4,1,0)</f>
        <v>2026</v>
      </c>
      <c r="C912" s="382">
        <f>YEAR(Table6[[#This Row],[Date]])</f>
        <v>2025</v>
      </c>
      <c r="D912" s="39" t="s">
        <v>490</v>
      </c>
      <c r="E912" s="135">
        <f>Table6[[#This Row],[Date]]-DAY(Table6[[#This Row],[Date]])+1</f>
        <v>45839</v>
      </c>
      <c r="F912" s="383">
        <v>45840</v>
      </c>
      <c r="G912" s="121" t="s">
        <v>142</v>
      </c>
      <c r="H912" s="39" t="str">
        <f>_xlfn.XLOOKUP(Table6[[#This Row],[Affected WTG]],'Basic Data'!$A:$A,'Basic Data'!$B:$B)</f>
        <v>PWEGPL</v>
      </c>
      <c r="I912" s="39" t="str">
        <f>_xlfn.XLOOKUP(Table6[[#This Row],[Affected WTG]],'Basic Data'!$A:$A,'Basic Data'!$C:$C)</f>
        <v>MSEDCL</v>
      </c>
      <c r="J912" s="389">
        <f>IFERROR(VLOOKUP(Table6[[#This Row],[Affected WTG]],'Basic Data'!$A$3:$E$56,5,0),"")</f>
        <v>2.564102564102564E-2</v>
      </c>
      <c r="K912" s="121" t="s">
        <v>492</v>
      </c>
      <c r="L912" s="386" t="str">
        <f>IFERROR(VLOOKUP(Table6[[#This Row],[Error Code]],'Basic Data'!$T:$U,2,0),"")</f>
        <v>Manual Stop - Safety Related</v>
      </c>
      <c r="M912" s="364" t="s">
        <v>481</v>
      </c>
      <c r="N912" s="121"/>
      <c r="O912" s="346">
        <v>0</v>
      </c>
      <c r="P912" s="346">
        <v>0.99998842592592596</v>
      </c>
      <c r="Q912" s="346">
        <v>0.99998842592592596</v>
      </c>
      <c r="R912" s="366">
        <f>IF(Table6[[#This Row],[Work Start TimeStamp]]="","",(Table6[[#This Row],[Work Start TimeStamp]]-Table6[[#This Row],[Fault Start TimeStamp]])*24)</f>
        <v>23.999722222222225</v>
      </c>
      <c r="S912" s="377">
        <f>(Table6[[#This Row],[Fault Clearance time]]-Table6[[#This Row],[Work Start TimeStamp]])*24</f>
        <v>0</v>
      </c>
      <c r="T912" s="380">
        <f>(Table6[[#This Row],[Fault Clearance time]]-Table6[[#This Row],[Fault Start TimeStamp]])*24</f>
        <v>23.999722222222225</v>
      </c>
      <c r="U912" s="364" t="s">
        <v>498</v>
      </c>
      <c r="V912" s="364" t="s">
        <v>473</v>
      </c>
      <c r="W912" s="356">
        <f>Table6[[#This Row],[Breakdown Time]]*(1/39)</f>
        <v>0.61537749287749288</v>
      </c>
      <c r="X912" s="353" t="s">
        <v>1212</v>
      </c>
      <c r="Y912" s="39" t="s">
        <v>143</v>
      </c>
      <c r="Z912" s="15">
        <v>24001</v>
      </c>
      <c r="AA912" s="123">
        <f>IFERROR((Table6[[#This Row],[Paired WTG Generation for loss calculation]]/24)*Table6[[#This Row],[Breakdown Time]],"")</f>
        <v>24000.722210648149</v>
      </c>
      <c r="AB912" s="121" t="s">
        <v>478</v>
      </c>
      <c r="AC912" s="121"/>
      <c r="AD912" s="121"/>
    </row>
    <row r="913" spans="1:30">
      <c r="A913" s="121">
        <f t="shared" si="14"/>
        <v>912</v>
      </c>
      <c r="B913" s="381">
        <f>YEAR(Table6[[#This Row],[Date]])+IF(MONTH(Table6[[#This Row],[Date]])&gt;=4,1,0)</f>
        <v>2026</v>
      </c>
      <c r="C913" s="382">
        <f>YEAR(Table6[[#This Row],[Date]])</f>
        <v>2025</v>
      </c>
      <c r="D913" s="39" t="s">
        <v>490</v>
      </c>
      <c r="E913" s="135">
        <f>Table6[[#This Row],[Date]]-DAY(Table6[[#This Row],[Date]])+1</f>
        <v>45839</v>
      </c>
      <c r="F913" s="383">
        <v>45840</v>
      </c>
      <c r="G913" s="121" t="s">
        <v>131</v>
      </c>
      <c r="H913" s="39" t="str">
        <f>_xlfn.XLOOKUP(Table6[[#This Row],[Affected WTG]],'Basic Data'!$A:$A,'Basic Data'!$B:$B)</f>
        <v>PWEGPL</v>
      </c>
      <c r="I913" s="39" t="str">
        <f>_xlfn.XLOOKUP(Table6[[#This Row],[Affected WTG]],'Basic Data'!$A:$A,'Basic Data'!$C:$C)</f>
        <v>MSEDCL</v>
      </c>
      <c r="J913" s="389">
        <f>IFERROR(VLOOKUP(Table6[[#This Row],[Affected WTG]],'Basic Data'!$A$3:$E$56,5,0),"")</f>
        <v>2.564102564102564E-2</v>
      </c>
      <c r="K913" s="121">
        <v>5216</v>
      </c>
      <c r="L913" s="386" t="str">
        <f>IFERROR(VLOOKUP(Table6[[#This Row],[Error Code]],'Basic Data'!$T:$U,2,0),"")</f>
        <v>Grid Voltage Failure</v>
      </c>
      <c r="M913" s="364" t="s">
        <v>462</v>
      </c>
      <c r="N913" s="121"/>
      <c r="O913" s="346">
        <v>0</v>
      </c>
      <c r="P913" s="346">
        <v>0.99998842592592596</v>
      </c>
      <c r="Q913" s="346">
        <v>0.99998842592592596</v>
      </c>
      <c r="R913" s="366">
        <f>IF(Table6[[#This Row],[Work Start TimeStamp]]="","",(Table6[[#This Row],[Work Start TimeStamp]]-Table6[[#This Row],[Fault Start TimeStamp]])*24)</f>
        <v>23.999722222222225</v>
      </c>
      <c r="S913" s="377">
        <f>(Table6[[#This Row],[Fault Clearance time]]-Table6[[#This Row],[Work Start TimeStamp]])*24</f>
        <v>0</v>
      </c>
      <c r="T913" s="380">
        <f>(Table6[[#This Row],[Fault Clearance time]]-Table6[[#This Row],[Fault Start TimeStamp]])*24</f>
        <v>23.999722222222225</v>
      </c>
      <c r="U913" s="364" t="s">
        <v>1247</v>
      </c>
      <c r="V913" s="364" t="s">
        <v>473</v>
      </c>
      <c r="W913" s="356">
        <f>Table6[[#This Row],[Breakdown Time]]*(1/39)</f>
        <v>0.61537749287749288</v>
      </c>
      <c r="X913" s="353" t="s">
        <v>465</v>
      </c>
      <c r="Y913" s="364" t="s">
        <v>132</v>
      </c>
      <c r="Z913" s="15">
        <v>25020</v>
      </c>
      <c r="AA913" s="123">
        <f>IFERROR((Table6[[#This Row],[Paired WTG Generation for loss calculation]]/24)*Table6[[#This Row],[Breakdown Time]],"")</f>
        <v>25019.710416666669</v>
      </c>
      <c r="AB913" s="121" t="s">
        <v>478</v>
      </c>
      <c r="AC913" s="121"/>
      <c r="AD913" s="121"/>
    </row>
    <row r="914" spans="1:30">
      <c r="A914" s="121">
        <f t="shared" si="14"/>
        <v>913</v>
      </c>
      <c r="B914" s="381">
        <f>YEAR(Table6[[#This Row],[Date]])+IF(MONTH(Table6[[#This Row],[Date]])&gt;=4,1,0)</f>
        <v>2026</v>
      </c>
      <c r="C914" s="382">
        <f>YEAR(Table6[[#This Row],[Date]])</f>
        <v>2025</v>
      </c>
      <c r="D914" s="39" t="s">
        <v>490</v>
      </c>
      <c r="E914" s="135">
        <f>Table6[[#This Row],[Date]]-DAY(Table6[[#This Row],[Date]])+1</f>
        <v>45839</v>
      </c>
      <c r="F914" s="383">
        <v>45840</v>
      </c>
      <c r="G914" s="384" t="s">
        <v>149</v>
      </c>
      <c r="H914" s="39" t="str">
        <f>_xlfn.XLOOKUP(Table6[[#This Row],[Affected WTG]],'Basic Data'!$A:$A,'Basic Data'!$B:$B)</f>
        <v>PWEGPL</v>
      </c>
      <c r="I914" s="39" t="str">
        <f>_xlfn.XLOOKUP(Table6[[#This Row],[Affected WTG]],'Basic Data'!$A:$A,'Basic Data'!$C:$C)</f>
        <v>MSEDCL</v>
      </c>
      <c r="J914" s="389">
        <f>IFERROR(VLOOKUP(Table6[[#This Row],[Affected WTG]],'Basic Data'!$A$3:$E$56,5,0),"")</f>
        <v>2.564102564102564E-2</v>
      </c>
      <c r="K914" s="121" t="s">
        <v>492</v>
      </c>
      <c r="L914" s="386" t="str">
        <f>IFERROR(VLOOKUP(Table6[[#This Row],[Error Code]],'Basic Data'!$T:$U,2,0),"")</f>
        <v>Manual Stop - Safety Related</v>
      </c>
      <c r="M914" s="364" t="s">
        <v>481</v>
      </c>
      <c r="N914" s="121"/>
      <c r="O914" s="346">
        <v>0.57777777777777772</v>
      </c>
      <c r="P914" s="346">
        <v>0.57777777777777772</v>
      </c>
      <c r="Q914" s="346">
        <v>0.71805555555555556</v>
      </c>
      <c r="R914" s="390">
        <f>IF(Table6[[#This Row],[Work Start TimeStamp]]="","",(Table6[[#This Row],[Work Start TimeStamp]]-Table6[[#This Row],[Fault Start TimeStamp]])*24)</f>
        <v>0</v>
      </c>
      <c r="S914" s="390">
        <f>(Table6[[#This Row],[Fault Clearance time]]-Table6[[#This Row],[Work Start TimeStamp]])*24</f>
        <v>3.366666666666668</v>
      </c>
      <c r="T914" s="391">
        <f>(Table6[[#This Row],[Fault Clearance time]]-Table6[[#This Row],[Fault Start TimeStamp]])*24</f>
        <v>3.366666666666668</v>
      </c>
      <c r="U914" s="364" t="s">
        <v>501</v>
      </c>
      <c r="V914" s="364" t="s">
        <v>463</v>
      </c>
      <c r="W914" s="356">
        <f>Table6[[#This Row],[Breakdown Time]]*(1/39)</f>
        <v>8.6324786324786351E-2</v>
      </c>
      <c r="X914" s="353" t="s">
        <v>1212</v>
      </c>
      <c r="Y914" s="364" t="s">
        <v>148</v>
      </c>
      <c r="Z914" s="15">
        <v>16282</v>
      </c>
      <c r="AA914" s="123">
        <f>IFERROR((Table6[[#This Row],[Paired WTG Generation for loss calculation]]/24)*Table6[[#This Row],[Breakdown Time]],"")</f>
        <v>2284.0027777777786</v>
      </c>
      <c r="AB914" s="121" t="s">
        <v>478</v>
      </c>
      <c r="AC914" s="121"/>
      <c r="AD914" s="121"/>
    </row>
    <row r="915" spans="1:30">
      <c r="A915" s="121">
        <f t="shared" si="14"/>
        <v>914</v>
      </c>
      <c r="B915" s="381">
        <f>YEAR(Table6[[#This Row],[Date]])+IF(MONTH(Table6[[#This Row],[Date]])&gt;=4,1,0)</f>
        <v>2026</v>
      </c>
      <c r="C915" s="382">
        <f>YEAR(Table6[[#This Row],[Date]])</f>
        <v>2025</v>
      </c>
      <c r="D915" s="39" t="s">
        <v>490</v>
      </c>
      <c r="E915" s="135">
        <f>Table6[[#This Row],[Date]]-DAY(Table6[[#This Row],[Date]])+1</f>
        <v>45839</v>
      </c>
      <c r="F915" s="383">
        <v>45841</v>
      </c>
      <c r="G915" s="384" t="s">
        <v>144</v>
      </c>
      <c r="H915" s="39" t="str">
        <f>_xlfn.XLOOKUP(Table6[[#This Row],[Affected WTG]],'Basic Data'!$A:$A,'Basic Data'!$B:$B)</f>
        <v>PWEGPL</v>
      </c>
      <c r="I915" s="39" t="str">
        <f>_xlfn.XLOOKUP(Table6[[#This Row],[Affected WTG]],'Basic Data'!$A:$A,'Basic Data'!$C:$C)</f>
        <v>MSEDCL</v>
      </c>
      <c r="J915" s="389">
        <f>IFERROR(VLOOKUP(Table6[[#This Row],[Affected WTG]],'Basic Data'!$A$3:$E$56,5,0),"")</f>
        <v>2.564102564102564E-2</v>
      </c>
      <c r="K915" s="121" t="s">
        <v>492</v>
      </c>
      <c r="L915" s="386" t="str">
        <f>IFERROR(VLOOKUP(Table6[[#This Row],[Error Code]],'Basic Data'!$T:$U,2,0),"")</f>
        <v>Manual Stop - Safety Related</v>
      </c>
      <c r="M915" s="364" t="s">
        <v>481</v>
      </c>
      <c r="N915" s="121"/>
      <c r="O915" s="346">
        <v>0</v>
      </c>
      <c r="P915" s="346">
        <v>0.99998842592592596</v>
      </c>
      <c r="Q915" s="346">
        <v>0.99998842592592596</v>
      </c>
      <c r="R915" s="366">
        <f>IF(Table6[[#This Row],[Work Start TimeStamp]]="","",(Table6[[#This Row],[Work Start TimeStamp]]-Table6[[#This Row],[Fault Start TimeStamp]])*24)</f>
        <v>23.999722222222225</v>
      </c>
      <c r="S915" s="377">
        <f>(Table6[[#This Row],[Fault Clearance time]]-Table6[[#This Row],[Work Start TimeStamp]])*24</f>
        <v>0</v>
      </c>
      <c r="T915" s="380">
        <f>(Table6[[#This Row],[Fault Clearance time]]-Table6[[#This Row],[Fault Start TimeStamp]])*24</f>
        <v>23.999722222222225</v>
      </c>
      <c r="U915" s="364" t="s">
        <v>498</v>
      </c>
      <c r="V915" s="364" t="s">
        <v>473</v>
      </c>
      <c r="W915" s="356">
        <f>Table6[[#This Row],[Breakdown Time]]*(1/39)</f>
        <v>0.61537749287749288</v>
      </c>
      <c r="X915" s="353" t="s">
        <v>1212</v>
      </c>
      <c r="Y915" s="39" t="s">
        <v>143</v>
      </c>
      <c r="Z915" s="15">
        <v>20400</v>
      </c>
      <c r="AA915" s="123">
        <f>IFERROR((Table6[[#This Row],[Paired WTG Generation for loss calculation]]/24)*Table6[[#This Row],[Breakdown Time]],"")</f>
        <v>20399.763888888891</v>
      </c>
      <c r="AB915" s="121" t="s">
        <v>478</v>
      </c>
      <c r="AC915" s="121"/>
      <c r="AD915" s="121"/>
    </row>
    <row r="916" spans="1:30">
      <c r="A916" s="121">
        <f t="shared" si="14"/>
        <v>915</v>
      </c>
      <c r="B916" s="381">
        <f>YEAR(Table6[[#This Row],[Date]])+IF(MONTH(Table6[[#This Row],[Date]])&gt;=4,1,0)</f>
        <v>2026</v>
      </c>
      <c r="C916" s="382">
        <f>YEAR(Table6[[#This Row],[Date]])</f>
        <v>2025</v>
      </c>
      <c r="D916" s="39" t="s">
        <v>490</v>
      </c>
      <c r="E916" s="135">
        <f>Table6[[#This Row],[Date]]-DAY(Table6[[#This Row],[Date]])+1</f>
        <v>45839</v>
      </c>
      <c r="F916" s="383">
        <v>45841</v>
      </c>
      <c r="G916" s="121" t="s">
        <v>142</v>
      </c>
      <c r="H916" s="39" t="str">
        <f>_xlfn.XLOOKUP(Table6[[#This Row],[Affected WTG]],'Basic Data'!$A:$A,'Basic Data'!$B:$B)</f>
        <v>PWEGPL</v>
      </c>
      <c r="I916" s="39" t="str">
        <f>_xlfn.XLOOKUP(Table6[[#This Row],[Affected WTG]],'Basic Data'!$A:$A,'Basic Data'!$C:$C)</f>
        <v>MSEDCL</v>
      </c>
      <c r="J916" s="389">
        <f>IFERROR(VLOOKUP(Table6[[#This Row],[Affected WTG]],'Basic Data'!$A$3:$E$56,5,0),"")</f>
        <v>2.564102564102564E-2</v>
      </c>
      <c r="K916" s="121" t="s">
        <v>492</v>
      </c>
      <c r="L916" s="386" t="str">
        <f>IFERROR(VLOOKUP(Table6[[#This Row],[Error Code]],'Basic Data'!$T:$U,2,0),"")</f>
        <v>Manual Stop - Safety Related</v>
      </c>
      <c r="M916" s="364" t="s">
        <v>481</v>
      </c>
      <c r="N916" s="121"/>
      <c r="O916" s="346">
        <v>0</v>
      </c>
      <c r="P916" s="346">
        <v>0.99998842592592596</v>
      </c>
      <c r="Q916" s="346">
        <v>0.99998842592592596</v>
      </c>
      <c r="R916" s="366">
        <f>IF(Table6[[#This Row],[Work Start TimeStamp]]="","",(Table6[[#This Row],[Work Start TimeStamp]]-Table6[[#This Row],[Fault Start TimeStamp]])*24)</f>
        <v>23.999722222222225</v>
      </c>
      <c r="S916" s="377">
        <f>(Table6[[#This Row],[Fault Clearance time]]-Table6[[#This Row],[Work Start TimeStamp]])*24</f>
        <v>0</v>
      </c>
      <c r="T916" s="380">
        <f>(Table6[[#This Row],[Fault Clearance time]]-Table6[[#This Row],[Fault Start TimeStamp]])*24</f>
        <v>23.999722222222225</v>
      </c>
      <c r="U916" s="364" t="s">
        <v>498</v>
      </c>
      <c r="V916" s="364" t="s">
        <v>473</v>
      </c>
      <c r="W916" s="356">
        <f>Table6[[#This Row],[Breakdown Time]]*(1/39)</f>
        <v>0.61537749287749288</v>
      </c>
      <c r="X916" s="353" t="s">
        <v>1212</v>
      </c>
      <c r="Y916" s="39" t="s">
        <v>143</v>
      </c>
      <c r="Z916" s="15">
        <v>20400</v>
      </c>
      <c r="AA916" s="123">
        <f>IFERROR((Table6[[#This Row],[Paired WTG Generation for loss calculation]]/24)*Table6[[#This Row],[Breakdown Time]],"")</f>
        <v>20399.763888888891</v>
      </c>
      <c r="AB916" s="121" t="s">
        <v>478</v>
      </c>
      <c r="AC916" s="121"/>
      <c r="AD916" s="121"/>
    </row>
    <row r="917" spans="1:30">
      <c r="A917" s="121">
        <f t="shared" si="14"/>
        <v>916</v>
      </c>
      <c r="B917" s="381">
        <f>YEAR(Table6[[#This Row],[Date]])+IF(MONTH(Table6[[#This Row],[Date]])&gt;=4,1,0)</f>
        <v>2026</v>
      </c>
      <c r="C917" s="382">
        <f>YEAR(Table6[[#This Row],[Date]])</f>
        <v>2025</v>
      </c>
      <c r="D917" s="39" t="s">
        <v>490</v>
      </c>
      <c r="E917" s="135">
        <f>Table6[[#This Row],[Date]]-DAY(Table6[[#This Row],[Date]])+1</f>
        <v>45839</v>
      </c>
      <c r="F917" s="383">
        <v>45841</v>
      </c>
      <c r="G917" s="121" t="s">
        <v>131</v>
      </c>
      <c r="H917" s="39" t="str">
        <f>_xlfn.XLOOKUP(Table6[[#This Row],[Affected WTG]],'Basic Data'!$A:$A,'Basic Data'!$B:$B)</f>
        <v>PWEGPL</v>
      </c>
      <c r="I917" s="39" t="str">
        <f>_xlfn.XLOOKUP(Table6[[#This Row],[Affected WTG]],'Basic Data'!$A:$A,'Basic Data'!$C:$C)</f>
        <v>MSEDCL</v>
      </c>
      <c r="J917" s="389">
        <f>IFERROR(VLOOKUP(Table6[[#This Row],[Affected WTG]],'Basic Data'!$A$3:$E$56,5,0),"")</f>
        <v>2.564102564102564E-2</v>
      </c>
      <c r="K917" s="121">
        <v>5216</v>
      </c>
      <c r="L917" s="386" t="str">
        <f>IFERROR(VLOOKUP(Table6[[#This Row],[Error Code]],'Basic Data'!$T:$U,2,0),"")</f>
        <v>Grid Voltage Failure</v>
      </c>
      <c r="M917" s="364" t="s">
        <v>462</v>
      </c>
      <c r="N917" s="121"/>
      <c r="O917" s="346">
        <v>0</v>
      </c>
      <c r="P917" s="346">
        <v>0.99998842592592596</v>
      </c>
      <c r="Q917" s="346">
        <v>0.99998842592592596</v>
      </c>
      <c r="R917" s="366">
        <f>IF(Table6[[#This Row],[Work Start TimeStamp]]="","",(Table6[[#This Row],[Work Start TimeStamp]]-Table6[[#This Row],[Fault Start TimeStamp]])*24)</f>
        <v>23.999722222222225</v>
      </c>
      <c r="S917" s="377">
        <f>(Table6[[#This Row],[Fault Clearance time]]-Table6[[#This Row],[Work Start TimeStamp]])*24</f>
        <v>0</v>
      </c>
      <c r="T917" s="380">
        <f>(Table6[[#This Row],[Fault Clearance time]]-Table6[[#This Row],[Fault Start TimeStamp]])*24</f>
        <v>23.999722222222225</v>
      </c>
      <c r="U917" s="364" t="s">
        <v>1247</v>
      </c>
      <c r="V917" s="364" t="s">
        <v>473</v>
      </c>
      <c r="W917" s="356">
        <f>Table6[[#This Row],[Breakdown Time]]*(1/39)</f>
        <v>0.61537749287749288</v>
      </c>
      <c r="X917" s="353" t="s">
        <v>465</v>
      </c>
      <c r="Y917" s="364" t="s">
        <v>132</v>
      </c>
      <c r="Z917" s="15">
        <v>28360</v>
      </c>
      <c r="AA917" s="123">
        <f>IFERROR((Table6[[#This Row],[Paired WTG Generation for loss calculation]]/24)*Table6[[#This Row],[Breakdown Time]],"")</f>
        <v>28359.671759259265</v>
      </c>
      <c r="AB917" s="121" t="s">
        <v>478</v>
      </c>
      <c r="AC917" s="121"/>
      <c r="AD917" s="121"/>
    </row>
    <row r="918" spans="1:30">
      <c r="A918" s="121">
        <f t="shared" si="14"/>
        <v>917</v>
      </c>
      <c r="B918" s="381">
        <f>YEAR(Table6[[#This Row],[Date]])+IF(MONTH(Table6[[#This Row],[Date]])&gt;=4,1,0)</f>
        <v>2026</v>
      </c>
      <c r="C918" s="382">
        <f>YEAR(Table6[[#This Row],[Date]])</f>
        <v>2025</v>
      </c>
      <c r="D918" s="39" t="s">
        <v>490</v>
      </c>
      <c r="E918" s="135">
        <f>Table6[[#This Row],[Date]]-DAY(Table6[[#This Row],[Date]])+1</f>
        <v>45839</v>
      </c>
      <c r="F918" s="383">
        <v>45841</v>
      </c>
      <c r="G918" s="384" t="s">
        <v>140</v>
      </c>
      <c r="H918" s="39" t="str">
        <f>_xlfn.XLOOKUP(Table6[[#This Row],[Affected WTG]],'Basic Data'!$A:$A,'Basic Data'!$B:$B)</f>
        <v>PWEGPL</v>
      </c>
      <c r="I918" s="39" t="str">
        <f>_xlfn.XLOOKUP(Table6[[#This Row],[Affected WTG]],'Basic Data'!$A:$A,'Basic Data'!$C:$C)</f>
        <v>MSEDCL</v>
      </c>
      <c r="J918" s="389">
        <f>IFERROR(VLOOKUP(Table6[[#This Row],[Affected WTG]],'Basic Data'!$A$3:$E$56,5,0),"")</f>
        <v>2.564102564102564E-2</v>
      </c>
      <c r="K918" s="121" t="s">
        <v>492</v>
      </c>
      <c r="L918" s="386" t="str">
        <f>IFERROR(VLOOKUP(Table6[[#This Row],[Error Code]],'Basic Data'!$T:$U,2,0),"")</f>
        <v>Manual Stop - Safety Related</v>
      </c>
      <c r="M918" s="364" t="s">
        <v>481</v>
      </c>
      <c r="N918" s="121"/>
      <c r="O918" s="346">
        <v>0.48055555555555557</v>
      </c>
      <c r="P918" s="346">
        <v>0.48055555555555557</v>
      </c>
      <c r="Q918" s="346">
        <v>0.6875</v>
      </c>
      <c r="R918" s="390">
        <f>IF(Table6[[#This Row],[Work Start TimeStamp]]="","",(Table6[[#This Row],[Work Start TimeStamp]]-Table6[[#This Row],[Fault Start TimeStamp]])*24)</f>
        <v>0</v>
      </c>
      <c r="S918" s="390">
        <f>(Table6[[#This Row],[Fault Clearance time]]-Table6[[#This Row],[Work Start TimeStamp]])*24</f>
        <v>4.9666666666666668</v>
      </c>
      <c r="T918" s="391">
        <f>(Table6[[#This Row],[Fault Clearance time]]-Table6[[#This Row],[Fault Start TimeStamp]])*24</f>
        <v>4.9666666666666668</v>
      </c>
      <c r="U918" s="364" t="s">
        <v>501</v>
      </c>
      <c r="V918" s="364" t="s">
        <v>463</v>
      </c>
      <c r="W918" s="356">
        <f>Table6[[#This Row],[Breakdown Time]]*(1/39)</f>
        <v>0.12735042735042734</v>
      </c>
      <c r="X918" s="353" t="s">
        <v>1212</v>
      </c>
      <c r="Y918" s="364" t="s">
        <v>138</v>
      </c>
      <c r="Z918" s="15">
        <v>21242</v>
      </c>
      <c r="AA918" s="123">
        <f>IFERROR((Table6[[#This Row],[Paired WTG Generation for loss calculation]]/24)*Table6[[#This Row],[Breakdown Time]],"")</f>
        <v>4395.9138888888892</v>
      </c>
      <c r="AB918" s="121" t="s">
        <v>478</v>
      </c>
      <c r="AC918" s="121"/>
      <c r="AD918" s="121"/>
    </row>
    <row r="919" spans="1:30">
      <c r="A919" s="121">
        <f t="shared" si="14"/>
        <v>918</v>
      </c>
      <c r="B919" s="381">
        <f>YEAR(Table6[[#This Row],[Date]])+IF(MONTH(Table6[[#This Row],[Date]])&gt;=4,1,0)</f>
        <v>2026</v>
      </c>
      <c r="C919" s="382">
        <f>YEAR(Table6[[#This Row],[Date]])</f>
        <v>2025</v>
      </c>
      <c r="D919" s="39" t="s">
        <v>490</v>
      </c>
      <c r="E919" s="135">
        <f>Table6[[#This Row],[Date]]-DAY(Table6[[#This Row],[Date]])+1</f>
        <v>45839</v>
      </c>
      <c r="F919" s="383">
        <v>45841</v>
      </c>
      <c r="G919" s="384" t="s">
        <v>137</v>
      </c>
      <c r="H919" s="39" t="str">
        <f>_xlfn.XLOOKUP(Table6[[#This Row],[Affected WTG]],'Basic Data'!$A:$A,'Basic Data'!$B:$B)</f>
        <v>PWEGPL</v>
      </c>
      <c r="I919" s="39" t="str">
        <f>_xlfn.XLOOKUP(Table6[[#This Row],[Affected WTG]],'Basic Data'!$A:$A,'Basic Data'!$C:$C)</f>
        <v>MSEDCL</v>
      </c>
      <c r="J919" s="389">
        <f>IFERROR(VLOOKUP(Table6[[#This Row],[Affected WTG]],'Basic Data'!$A$3:$E$56,5,0),"")</f>
        <v>2.564102564102564E-2</v>
      </c>
      <c r="K919" s="121">
        <v>203</v>
      </c>
      <c r="L919" s="386" t="str">
        <f>IFERROR(VLOOKUP(Table6[[#This Row],[Error Code]],'Basic Data'!$T:$U,2,0),"")</f>
        <v>Low Pressure On Hydraulic Group</v>
      </c>
      <c r="M919" s="364" t="s">
        <v>462</v>
      </c>
      <c r="N919" s="121"/>
      <c r="O919" s="346">
        <v>0.70416666666666672</v>
      </c>
      <c r="P919" s="346">
        <v>0.72638888888888886</v>
      </c>
      <c r="Q919" s="346">
        <v>0.72777777777777775</v>
      </c>
      <c r="R919" s="390">
        <f>IF(Table6[[#This Row],[Work Start TimeStamp]]="","",(Table6[[#This Row],[Work Start TimeStamp]]-Table6[[#This Row],[Fault Start TimeStamp]])*24)</f>
        <v>0.53333333333333144</v>
      </c>
      <c r="S919" s="390">
        <f>(Table6[[#This Row],[Fault Clearance time]]-Table6[[#This Row],[Work Start TimeStamp]])*24</f>
        <v>3.3333333333333215E-2</v>
      </c>
      <c r="T919" s="391">
        <f>(Table6[[#This Row],[Fault Clearance time]]-Table6[[#This Row],[Fault Start TimeStamp]])*24</f>
        <v>0.56666666666666465</v>
      </c>
      <c r="U919" s="364" t="s">
        <v>493</v>
      </c>
      <c r="V919" s="364" t="s">
        <v>463</v>
      </c>
      <c r="W919" s="356">
        <f>Table6[[#This Row],[Breakdown Time]]*(1/39)</f>
        <v>1.4529914529914478E-2</v>
      </c>
      <c r="X919" s="353" t="s">
        <v>465</v>
      </c>
      <c r="Y919" s="364" t="s">
        <v>136</v>
      </c>
      <c r="Z919" s="15">
        <v>20876</v>
      </c>
      <c r="AA919" s="123">
        <f>IFERROR((Table6[[#This Row],[Paired WTG Generation for loss calculation]]/24)*Table6[[#This Row],[Breakdown Time]],"")</f>
        <v>492.9055555555538</v>
      </c>
      <c r="AB919" s="121" t="s">
        <v>478</v>
      </c>
      <c r="AC919" s="121"/>
      <c r="AD919" s="121"/>
    </row>
    <row r="920" spans="1:30">
      <c r="A920" s="121">
        <f t="shared" si="14"/>
        <v>919</v>
      </c>
      <c r="B920" s="381">
        <f>YEAR(Table6[[#This Row],[Date]])+IF(MONTH(Table6[[#This Row],[Date]])&gt;=4,1,0)</f>
        <v>2026</v>
      </c>
      <c r="C920" s="382">
        <f>YEAR(Table6[[#This Row],[Date]])</f>
        <v>2025</v>
      </c>
      <c r="D920" s="39" t="s">
        <v>490</v>
      </c>
      <c r="E920" s="135">
        <f>Table6[[#This Row],[Date]]-DAY(Table6[[#This Row],[Date]])+1</f>
        <v>45839</v>
      </c>
      <c r="F920" s="383">
        <v>45841</v>
      </c>
      <c r="G920" s="384" t="s">
        <v>123</v>
      </c>
      <c r="H920" s="39" t="str">
        <f>_xlfn.XLOOKUP(Table6[[#This Row],[Affected WTG]],'Basic Data'!$A:$A,'Basic Data'!$B:$B)</f>
        <v>PWEGPL</v>
      </c>
      <c r="I920" s="39" t="str">
        <f>_xlfn.XLOOKUP(Table6[[#This Row],[Affected WTG]],'Basic Data'!$A:$A,'Basic Data'!$C:$C)</f>
        <v>MSEDCL</v>
      </c>
      <c r="J920" s="389">
        <f>IFERROR(VLOOKUP(Table6[[#This Row],[Affected WTG]],'Basic Data'!$A$3:$E$56,5,0),"")</f>
        <v>2.564102564102564E-2</v>
      </c>
      <c r="K920" s="121">
        <v>813</v>
      </c>
      <c r="L920" s="386" t="str">
        <f>IFERROR(VLOOKUP(Table6[[#This Row],[Error Code]],'Basic Data'!$T:$U,2,0),"")</f>
        <v>Low Pressure Of Emergency Accumulators</v>
      </c>
      <c r="M920" s="364" t="s">
        <v>462</v>
      </c>
      <c r="N920" s="121"/>
      <c r="O920" s="346">
        <v>0.70972222222222225</v>
      </c>
      <c r="P920" s="346">
        <v>0.72291666666666665</v>
      </c>
      <c r="Q920" s="346">
        <v>0.72430555555555554</v>
      </c>
      <c r="R920" s="390">
        <f>IF(Table6[[#This Row],[Work Start TimeStamp]]="","",(Table6[[#This Row],[Work Start TimeStamp]]-Table6[[#This Row],[Fault Start TimeStamp]])*24)</f>
        <v>0.31666666666666554</v>
      </c>
      <c r="S920" s="390">
        <f>(Table6[[#This Row],[Fault Clearance time]]-Table6[[#This Row],[Work Start TimeStamp]])*24</f>
        <v>3.3333333333333215E-2</v>
      </c>
      <c r="T920" s="391">
        <f>(Table6[[#This Row],[Fault Clearance time]]-Table6[[#This Row],[Fault Start TimeStamp]])*24</f>
        <v>0.34999999999999876</v>
      </c>
      <c r="U920" s="364" t="s">
        <v>493</v>
      </c>
      <c r="V920" s="364" t="s">
        <v>463</v>
      </c>
      <c r="W920" s="356">
        <f>Table6[[#This Row],[Breakdown Time]]*(1/39)</f>
        <v>8.9743589743589425E-3</v>
      </c>
      <c r="X920" s="353" t="s">
        <v>465</v>
      </c>
      <c r="Y920" s="364" t="s">
        <v>126</v>
      </c>
      <c r="Z920" s="15">
        <v>29855</v>
      </c>
      <c r="AA920" s="123">
        <f>IFERROR((Table6[[#This Row],[Paired WTG Generation for loss calculation]]/24)*Table6[[#This Row],[Breakdown Time]],"")</f>
        <v>435.38541666666509</v>
      </c>
      <c r="AB920" s="121" t="s">
        <v>478</v>
      </c>
      <c r="AC920" s="121"/>
      <c r="AD920" s="121"/>
    </row>
    <row r="921" spans="1:30">
      <c r="A921" s="121">
        <f t="shared" si="14"/>
        <v>920</v>
      </c>
      <c r="B921" s="381">
        <f>YEAR(Table6[[#This Row],[Date]])+IF(MONTH(Table6[[#This Row],[Date]])&gt;=4,1,0)</f>
        <v>2026</v>
      </c>
      <c r="C921" s="382">
        <f>YEAR(Table6[[#This Row],[Date]])</f>
        <v>2025</v>
      </c>
      <c r="D921" s="39" t="s">
        <v>490</v>
      </c>
      <c r="E921" s="135">
        <f>Table6[[#This Row],[Date]]-DAY(Table6[[#This Row],[Date]])+1</f>
        <v>45839</v>
      </c>
      <c r="F921" s="383">
        <v>45842</v>
      </c>
      <c r="G921" s="384" t="s">
        <v>144</v>
      </c>
      <c r="H921" s="39" t="str">
        <f>_xlfn.XLOOKUP(Table6[[#This Row],[Affected WTG]],'Basic Data'!$A:$A,'Basic Data'!$B:$B)</f>
        <v>PWEGPL</v>
      </c>
      <c r="I921" s="39" t="str">
        <f>_xlfn.XLOOKUP(Table6[[#This Row],[Affected WTG]],'Basic Data'!$A:$A,'Basic Data'!$C:$C)</f>
        <v>MSEDCL</v>
      </c>
      <c r="J921" s="389">
        <f>IFERROR(VLOOKUP(Table6[[#This Row],[Affected WTG]],'Basic Data'!$A$3:$E$56,5,0),"")</f>
        <v>2.564102564102564E-2</v>
      </c>
      <c r="K921" s="121" t="s">
        <v>492</v>
      </c>
      <c r="L921" s="386" t="str">
        <f>IFERROR(VLOOKUP(Table6[[#This Row],[Error Code]],'Basic Data'!$T:$U,2,0),"")</f>
        <v>Manual Stop - Safety Related</v>
      </c>
      <c r="M921" s="364" t="s">
        <v>481</v>
      </c>
      <c r="N921" s="121"/>
      <c r="O921" s="346">
        <v>0</v>
      </c>
      <c r="P921" s="346">
        <v>0.99998842592592596</v>
      </c>
      <c r="Q921" s="346">
        <v>0.99998842592592596</v>
      </c>
      <c r="R921" s="390">
        <f>IF(Table6[[#This Row],[Work Start TimeStamp]]="","",(Table6[[#This Row],[Work Start TimeStamp]]-Table6[[#This Row],[Fault Start TimeStamp]])*24)</f>
        <v>23.999722222222225</v>
      </c>
      <c r="S921" s="390">
        <f>(Table6[[#This Row],[Fault Clearance time]]-Table6[[#This Row],[Work Start TimeStamp]])*24</f>
        <v>0</v>
      </c>
      <c r="T921" s="391">
        <f>(Table6[[#This Row],[Fault Clearance time]]-Table6[[#This Row],[Fault Start TimeStamp]])*24</f>
        <v>23.999722222222225</v>
      </c>
      <c r="U921" s="364" t="s">
        <v>498</v>
      </c>
      <c r="V921" s="364" t="s">
        <v>473</v>
      </c>
      <c r="W921" s="356">
        <f>Table6[[#This Row],[Breakdown Time]]*(1/39)</f>
        <v>0.61537749287749288</v>
      </c>
      <c r="X921" s="353" t="s">
        <v>1212</v>
      </c>
      <c r="Y921" s="39" t="s">
        <v>143</v>
      </c>
      <c r="Z921" s="15">
        <v>21550</v>
      </c>
      <c r="AA921" s="123">
        <f>IFERROR((Table6[[#This Row],[Paired WTG Generation for loss calculation]]/24)*Table6[[#This Row],[Breakdown Time]],"")</f>
        <v>21549.750578703704</v>
      </c>
      <c r="AB921" s="121" t="s">
        <v>478</v>
      </c>
      <c r="AC921" s="121"/>
      <c r="AD921" s="121"/>
    </row>
    <row r="922" spans="1:30">
      <c r="A922" s="121">
        <f t="shared" si="14"/>
        <v>921</v>
      </c>
      <c r="B922" s="381">
        <f>YEAR(Table6[[#This Row],[Date]])+IF(MONTH(Table6[[#This Row],[Date]])&gt;=4,1,0)</f>
        <v>2026</v>
      </c>
      <c r="C922" s="382">
        <f>YEAR(Table6[[#This Row],[Date]])</f>
        <v>2025</v>
      </c>
      <c r="D922" s="39" t="s">
        <v>490</v>
      </c>
      <c r="E922" s="135">
        <f>Table6[[#This Row],[Date]]-DAY(Table6[[#This Row],[Date]])+1</f>
        <v>45839</v>
      </c>
      <c r="F922" s="383">
        <v>45842</v>
      </c>
      <c r="G922" s="121" t="s">
        <v>142</v>
      </c>
      <c r="H922" s="39" t="str">
        <f>_xlfn.XLOOKUP(Table6[[#This Row],[Affected WTG]],'Basic Data'!$A:$A,'Basic Data'!$B:$B)</f>
        <v>PWEGPL</v>
      </c>
      <c r="I922" s="39" t="str">
        <f>_xlfn.XLOOKUP(Table6[[#This Row],[Affected WTG]],'Basic Data'!$A:$A,'Basic Data'!$C:$C)</f>
        <v>MSEDCL</v>
      </c>
      <c r="J922" s="389">
        <f>IFERROR(VLOOKUP(Table6[[#This Row],[Affected WTG]],'Basic Data'!$A$3:$E$56,5,0),"")</f>
        <v>2.564102564102564E-2</v>
      </c>
      <c r="K922" s="121" t="s">
        <v>492</v>
      </c>
      <c r="L922" s="386" t="str">
        <f>IFERROR(VLOOKUP(Table6[[#This Row],[Error Code]],'Basic Data'!$T:$U,2,0),"")</f>
        <v>Manual Stop - Safety Related</v>
      </c>
      <c r="M922" s="364" t="s">
        <v>481</v>
      </c>
      <c r="N922" s="121"/>
      <c r="O922" s="346">
        <v>0</v>
      </c>
      <c r="P922" s="346">
        <v>0.99998842592592596</v>
      </c>
      <c r="Q922" s="346">
        <v>0.99998842592592596</v>
      </c>
      <c r="R922" s="390">
        <f>IF(Table6[[#This Row],[Work Start TimeStamp]]="","",(Table6[[#This Row],[Work Start TimeStamp]]-Table6[[#This Row],[Fault Start TimeStamp]])*24)</f>
        <v>23.999722222222225</v>
      </c>
      <c r="S922" s="390">
        <f>(Table6[[#This Row],[Fault Clearance time]]-Table6[[#This Row],[Work Start TimeStamp]])*24</f>
        <v>0</v>
      </c>
      <c r="T922" s="391">
        <f>(Table6[[#This Row],[Fault Clearance time]]-Table6[[#This Row],[Fault Start TimeStamp]])*24</f>
        <v>23.999722222222225</v>
      </c>
      <c r="U922" s="364" t="s">
        <v>498</v>
      </c>
      <c r="V922" s="364" t="s">
        <v>473</v>
      </c>
      <c r="W922" s="356">
        <f>Table6[[#This Row],[Breakdown Time]]*(1/39)</f>
        <v>0.61537749287749288</v>
      </c>
      <c r="X922" s="353" t="s">
        <v>1212</v>
      </c>
      <c r="Y922" s="39" t="s">
        <v>143</v>
      </c>
      <c r="Z922" s="15">
        <v>21550</v>
      </c>
      <c r="AA922" s="123">
        <f>IFERROR((Table6[[#This Row],[Paired WTG Generation for loss calculation]]/24)*Table6[[#This Row],[Breakdown Time]],"")</f>
        <v>21549.750578703704</v>
      </c>
      <c r="AB922" s="121" t="s">
        <v>478</v>
      </c>
      <c r="AC922" s="121"/>
      <c r="AD922" s="121"/>
    </row>
    <row r="923" spans="1:30">
      <c r="A923" s="121">
        <f t="shared" si="14"/>
        <v>922</v>
      </c>
      <c r="B923" s="381">
        <f>YEAR(Table6[[#This Row],[Date]])+IF(MONTH(Table6[[#This Row],[Date]])&gt;=4,1,0)</f>
        <v>2026</v>
      </c>
      <c r="C923" s="382">
        <f>YEAR(Table6[[#This Row],[Date]])</f>
        <v>2025</v>
      </c>
      <c r="D923" s="39" t="s">
        <v>490</v>
      </c>
      <c r="E923" s="135">
        <f>Table6[[#This Row],[Date]]-DAY(Table6[[#This Row],[Date]])+1</f>
        <v>45839</v>
      </c>
      <c r="F923" s="383">
        <v>45842</v>
      </c>
      <c r="G923" s="121" t="s">
        <v>131</v>
      </c>
      <c r="H923" s="39" t="str">
        <f>_xlfn.XLOOKUP(Table6[[#This Row],[Affected WTG]],'Basic Data'!$A:$A,'Basic Data'!$B:$B)</f>
        <v>PWEGPL</v>
      </c>
      <c r="I923" s="39" t="str">
        <f>_xlfn.XLOOKUP(Table6[[#This Row],[Affected WTG]],'Basic Data'!$A:$A,'Basic Data'!$C:$C)</f>
        <v>MSEDCL</v>
      </c>
      <c r="J923" s="389">
        <f>IFERROR(VLOOKUP(Table6[[#This Row],[Affected WTG]],'Basic Data'!$A$3:$E$56,5,0),"")</f>
        <v>2.564102564102564E-2</v>
      </c>
      <c r="K923" s="121">
        <v>5216</v>
      </c>
      <c r="L923" s="386" t="str">
        <f>IFERROR(VLOOKUP(Table6[[#This Row],[Error Code]],'Basic Data'!$T:$U,2,0),"")</f>
        <v>Grid Voltage Failure</v>
      </c>
      <c r="M923" s="364" t="s">
        <v>462</v>
      </c>
      <c r="N923" s="121"/>
      <c r="O923" s="346">
        <v>0</v>
      </c>
      <c r="P923" s="346">
        <v>0.99998842592592596</v>
      </c>
      <c r="Q923" s="346">
        <v>0.99998842592592596</v>
      </c>
      <c r="R923" s="390">
        <f>IF(Table6[[#This Row],[Work Start TimeStamp]]="","",(Table6[[#This Row],[Work Start TimeStamp]]-Table6[[#This Row],[Fault Start TimeStamp]])*24)</f>
        <v>23.999722222222225</v>
      </c>
      <c r="S923" s="390">
        <f>(Table6[[#This Row],[Fault Clearance time]]-Table6[[#This Row],[Work Start TimeStamp]])*24</f>
        <v>0</v>
      </c>
      <c r="T923" s="391">
        <f>(Table6[[#This Row],[Fault Clearance time]]-Table6[[#This Row],[Fault Start TimeStamp]])*24</f>
        <v>23.999722222222225</v>
      </c>
      <c r="U923" s="364" t="s">
        <v>1247</v>
      </c>
      <c r="V923" s="364" t="s">
        <v>473</v>
      </c>
      <c r="W923" s="356">
        <f>Table6[[#This Row],[Breakdown Time]]*(1/39)</f>
        <v>0.61537749287749288</v>
      </c>
      <c r="X923" s="353" t="s">
        <v>465</v>
      </c>
      <c r="Y923" s="364" t="s">
        <v>132</v>
      </c>
      <c r="Z923" s="15">
        <v>24505</v>
      </c>
      <c r="AA923" s="123">
        <f>IFERROR((Table6[[#This Row],[Paired WTG Generation for loss calculation]]/24)*Table6[[#This Row],[Breakdown Time]],"")</f>
        <v>24504.716377314817</v>
      </c>
      <c r="AB923" s="121" t="s">
        <v>478</v>
      </c>
      <c r="AC923" s="121"/>
      <c r="AD923" s="121"/>
    </row>
    <row r="924" spans="1:30">
      <c r="A924" s="121">
        <f t="shared" si="14"/>
        <v>923</v>
      </c>
      <c r="B924" s="381">
        <f>YEAR(Table6[[#This Row],[Date]])+IF(MONTH(Table6[[#This Row],[Date]])&gt;=4,1,0)</f>
        <v>2026</v>
      </c>
      <c r="C924" s="382">
        <f>YEAR(Table6[[#This Row],[Date]])</f>
        <v>2025</v>
      </c>
      <c r="D924" s="39" t="s">
        <v>490</v>
      </c>
      <c r="E924" s="135">
        <f>Table6[[#This Row],[Date]]-DAY(Table6[[#This Row],[Date]])+1</f>
        <v>45839</v>
      </c>
      <c r="F924" s="383">
        <v>45842</v>
      </c>
      <c r="G924" s="384" t="s">
        <v>130</v>
      </c>
      <c r="H924" s="39" t="str">
        <f>_xlfn.XLOOKUP(Table6[[#This Row],[Affected WTG]],'Basic Data'!$A:$A,'Basic Data'!$B:$B)</f>
        <v>PWEGPL</v>
      </c>
      <c r="I924" s="39" t="str">
        <f>_xlfn.XLOOKUP(Table6[[#This Row],[Affected WTG]],'Basic Data'!$A:$A,'Basic Data'!$C:$C)</f>
        <v>MSEDCL</v>
      </c>
      <c r="J924" s="389">
        <f>IFERROR(VLOOKUP(Table6[[#This Row],[Affected WTG]],'Basic Data'!$A$3:$E$56,5,0),"")</f>
        <v>2.564102564102564E-2</v>
      </c>
      <c r="K924" s="121" t="s">
        <v>492</v>
      </c>
      <c r="L924" s="386" t="str">
        <f>IFERROR(VLOOKUP(Table6[[#This Row],[Error Code]],'Basic Data'!$T:$U,2,0),"")</f>
        <v>Manual Stop - Safety Related</v>
      </c>
      <c r="M924" s="364" t="s">
        <v>481</v>
      </c>
      <c r="N924" s="121"/>
      <c r="O924" s="346">
        <v>0.47152777777777777</v>
      </c>
      <c r="P924" s="346">
        <v>0.47152777777777777</v>
      </c>
      <c r="Q924" s="346">
        <v>0.57986111111111116</v>
      </c>
      <c r="R924" s="390">
        <f>IF(Table6[[#This Row],[Work Start TimeStamp]]="","",(Table6[[#This Row],[Work Start TimeStamp]]-Table6[[#This Row],[Fault Start TimeStamp]])*24)</f>
        <v>0</v>
      </c>
      <c r="S924" s="390">
        <f>(Table6[[#This Row],[Fault Clearance time]]-Table6[[#This Row],[Work Start TimeStamp]])*24</f>
        <v>2.6000000000000014</v>
      </c>
      <c r="T924" s="391">
        <f>(Table6[[#This Row],[Fault Clearance time]]-Table6[[#This Row],[Fault Start TimeStamp]])*24</f>
        <v>2.6000000000000014</v>
      </c>
      <c r="U924" s="364" t="s">
        <v>501</v>
      </c>
      <c r="V924" s="364" t="s">
        <v>463</v>
      </c>
      <c r="W924" s="356">
        <f>Table6[[#This Row],[Breakdown Time]]*(1/39)</f>
        <v>6.6666666666666707E-2</v>
      </c>
      <c r="X924" s="353" t="s">
        <v>1212</v>
      </c>
      <c r="Y924" s="364" t="s">
        <v>132</v>
      </c>
      <c r="Z924" s="15">
        <v>24505</v>
      </c>
      <c r="AA924" s="123">
        <f>IFERROR((Table6[[#This Row],[Paired WTG Generation for loss calculation]]/24)*Table6[[#This Row],[Breakdown Time]],"")</f>
        <v>2654.7083333333348</v>
      </c>
      <c r="AB924" s="121" t="s">
        <v>478</v>
      </c>
      <c r="AC924" s="121"/>
      <c r="AD924" s="121"/>
    </row>
    <row r="925" spans="1:30">
      <c r="A925" s="121">
        <f t="shared" si="14"/>
        <v>924</v>
      </c>
      <c r="B925" s="381">
        <f>YEAR(Table6[[#This Row],[Date]])+IF(MONTH(Table6[[#This Row],[Date]])&gt;=4,1,0)</f>
        <v>2026</v>
      </c>
      <c r="C925" s="382">
        <f>YEAR(Table6[[#This Row],[Date]])</f>
        <v>2025</v>
      </c>
      <c r="D925" s="39" t="s">
        <v>490</v>
      </c>
      <c r="E925" s="135">
        <f>Table6[[#This Row],[Date]]-DAY(Table6[[#This Row],[Date]])+1</f>
        <v>45839</v>
      </c>
      <c r="F925" s="383">
        <v>45842</v>
      </c>
      <c r="G925" s="384" t="s">
        <v>123</v>
      </c>
      <c r="H925" s="39" t="str">
        <f>_xlfn.XLOOKUP(Table6[[#This Row],[Affected WTG]],'Basic Data'!$A:$A,'Basic Data'!$B:$B)</f>
        <v>PWEGPL</v>
      </c>
      <c r="I925" s="39" t="str">
        <f>_xlfn.XLOOKUP(Table6[[#This Row],[Affected WTG]],'Basic Data'!$A:$A,'Basic Data'!$C:$C)</f>
        <v>MSEDCL</v>
      </c>
      <c r="J925" s="389">
        <f>IFERROR(VLOOKUP(Table6[[#This Row],[Affected WTG]],'Basic Data'!$A$3:$E$56,5,0),"")</f>
        <v>2.564102564102564E-2</v>
      </c>
      <c r="K925" s="121">
        <v>208</v>
      </c>
      <c r="L925" s="386" t="str">
        <f>IFERROR(VLOOKUP(Table6[[#This Row],[Error Code]],'Basic Data'!$T:$U,2,0),"")</f>
        <v>HU Pump Drive Failure</v>
      </c>
      <c r="M925" s="364" t="s">
        <v>462</v>
      </c>
      <c r="N925" s="121"/>
      <c r="O925" s="346">
        <v>0.63055555555555554</v>
      </c>
      <c r="P925" s="346">
        <v>0.64166666666666672</v>
      </c>
      <c r="Q925" s="346">
        <v>0.67708333333333337</v>
      </c>
      <c r="R925" s="390">
        <f>IF(Table6[[#This Row],[Work Start TimeStamp]]="","",(Table6[[#This Row],[Work Start TimeStamp]]-Table6[[#This Row],[Fault Start TimeStamp]])*24)</f>
        <v>0.26666666666666838</v>
      </c>
      <c r="S925" s="390">
        <f>(Table6[[#This Row],[Fault Clearance time]]-Table6[[#This Row],[Work Start TimeStamp]])*24</f>
        <v>0.84999999999999964</v>
      </c>
      <c r="T925" s="391">
        <f>(Table6[[#This Row],[Fault Clearance time]]-Table6[[#This Row],[Fault Start TimeStamp]])*24</f>
        <v>1.116666666666668</v>
      </c>
      <c r="U925" s="364" t="s">
        <v>1328</v>
      </c>
      <c r="V925" s="364" t="s">
        <v>463</v>
      </c>
      <c r="W925" s="356">
        <f>Table6[[#This Row],[Breakdown Time]]*(1/39)</f>
        <v>2.8632478632478666E-2</v>
      </c>
      <c r="X925" s="353" t="s">
        <v>465</v>
      </c>
      <c r="Y925" s="364" t="s">
        <v>126</v>
      </c>
      <c r="Z925" s="15">
        <v>24924</v>
      </c>
      <c r="AA925" s="123">
        <f>IFERROR((Table6[[#This Row],[Paired WTG Generation for loss calculation]]/24)*Table6[[#This Row],[Breakdown Time]],"")</f>
        <v>1159.6583333333347</v>
      </c>
      <c r="AB925" s="121" t="s">
        <v>478</v>
      </c>
      <c r="AC925" s="121"/>
      <c r="AD925" s="121"/>
    </row>
    <row r="926" spans="1:30">
      <c r="A926" s="121">
        <f t="shared" si="14"/>
        <v>925</v>
      </c>
      <c r="B926" s="381">
        <f>YEAR(Table6[[#This Row],[Date]])+IF(MONTH(Table6[[#This Row],[Date]])&gt;=4,1,0)</f>
        <v>2026</v>
      </c>
      <c r="C926" s="382">
        <f>YEAR(Table6[[#This Row],[Date]])</f>
        <v>2025</v>
      </c>
      <c r="D926" s="39" t="s">
        <v>490</v>
      </c>
      <c r="E926" s="135">
        <f>Table6[[#This Row],[Date]]-DAY(Table6[[#This Row],[Date]])+1</f>
        <v>45839</v>
      </c>
      <c r="F926" s="383">
        <v>45842</v>
      </c>
      <c r="G926" s="384" t="s">
        <v>118</v>
      </c>
      <c r="H926" s="39" t="str">
        <f>_xlfn.XLOOKUP(Table6[[#This Row],[Affected WTG]],'Basic Data'!$A:$A,'Basic Data'!$B:$B)</f>
        <v>PWEGPL</v>
      </c>
      <c r="I926" s="39" t="str">
        <f>_xlfn.XLOOKUP(Table6[[#This Row],[Affected WTG]],'Basic Data'!$A:$A,'Basic Data'!$C:$C)</f>
        <v>MSEDCL</v>
      </c>
      <c r="J926" s="389">
        <f>IFERROR(VLOOKUP(Table6[[#This Row],[Affected WTG]],'Basic Data'!$A$3:$E$56,5,0),"")</f>
        <v>2.564102564102564E-2</v>
      </c>
      <c r="K926" s="121">
        <v>203</v>
      </c>
      <c r="L926" s="386" t="str">
        <f>IFERROR(VLOOKUP(Table6[[#This Row],[Error Code]],'Basic Data'!$T:$U,2,0),"")</f>
        <v>Low Pressure On Hydraulic Group</v>
      </c>
      <c r="M926" s="364" t="s">
        <v>462</v>
      </c>
      <c r="N926" s="121"/>
      <c r="O926" s="346">
        <v>0.3972222222222222</v>
      </c>
      <c r="P926" s="346">
        <v>0.44027777777777777</v>
      </c>
      <c r="Q926" s="346">
        <v>0.72222222222222221</v>
      </c>
      <c r="R926" s="390">
        <f>IF(Table6[[#This Row],[Work Start TimeStamp]]="","",(Table6[[#This Row],[Work Start TimeStamp]]-Table6[[#This Row],[Fault Start TimeStamp]])*24)</f>
        <v>1.0333333333333337</v>
      </c>
      <c r="S926" s="390">
        <f>(Table6[[#This Row],[Fault Clearance time]]-Table6[[#This Row],[Work Start TimeStamp]])*24</f>
        <v>6.7666666666666666</v>
      </c>
      <c r="T926" s="391">
        <f>(Table6[[#This Row],[Fault Clearance time]]-Table6[[#This Row],[Fault Start TimeStamp]])*24</f>
        <v>7.8000000000000007</v>
      </c>
      <c r="U926" s="364" t="s">
        <v>1329</v>
      </c>
      <c r="V926" s="364" t="s">
        <v>463</v>
      </c>
      <c r="W926" s="356">
        <f>Table6[[#This Row],[Breakdown Time]]*(1/39)</f>
        <v>0.2</v>
      </c>
      <c r="X926" s="353" t="s">
        <v>465</v>
      </c>
      <c r="Y926" s="364" t="s">
        <v>117</v>
      </c>
      <c r="Z926" s="15">
        <v>23114</v>
      </c>
      <c r="AA926" s="123">
        <f>IFERROR((Table6[[#This Row],[Paired WTG Generation for loss calculation]]/24)*Table6[[#This Row],[Breakdown Time]],"")</f>
        <v>7512.0500000000011</v>
      </c>
      <c r="AB926" s="121" t="s">
        <v>478</v>
      </c>
      <c r="AC926" s="121"/>
      <c r="AD926" s="121"/>
    </row>
    <row r="927" spans="1:30">
      <c r="A927" s="121">
        <f t="shared" si="14"/>
        <v>926</v>
      </c>
      <c r="B927" s="381">
        <f>YEAR(Table6[[#This Row],[Date]])+IF(MONTH(Table6[[#This Row],[Date]])&gt;=4,1,0)</f>
        <v>2026</v>
      </c>
      <c r="C927" s="382">
        <f>YEAR(Table6[[#This Row],[Date]])</f>
        <v>2025</v>
      </c>
      <c r="D927" s="39" t="s">
        <v>490</v>
      </c>
      <c r="E927" s="135">
        <f>Table6[[#This Row],[Date]]-DAY(Table6[[#This Row],[Date]])+1</f>
        <v>45839</v>
      </c>
      <c r="F927" s="383">
        <v>45843</v>
      </c>
      <c r="G927" s="384" t="s">
        <v>144</v>
      </c>
      <c r="H927" s="39" t="str">
        <f>_xlfn.XLOOKUP(Table6[[#This Row],[Affected WTG]],'Basic Data'!$A:$A,'Basic Data'!$B:$B)</f>
        <v>PWEGPL</v>
      </c>
      <c r="I927" s="39" t="str">
        <f>_xlfn.XLOOKUP(Table6[[#This Row],[Affected WTG]],'Basic Data'!$A:$A,'Basic Data'!$C:$C)</f>
        <v>MSEDCL</v>
      </c>
      <c r="J927" s="389">
        <f>IFERROR(VLOOKUP(Table6[[#This Row],[Affected WTG]],'Basic Data'!$A$3:$E$56,5,0),"")</f>
        <v>2.564102564102564E-2</v>
      </c>
      <c r="K927" s="121" t="s">
        <v>492</v>
      </c>
      <c r="L927" s="386" t="str">
        <f>IFERROR(VLOOKUP(Table6[[#This Row],[Error Code]],'Basic Data'!$T:$U,2,0),"")</f>
        <v>Manual Stop - Safety Related</v>
      </c>
      <c r="M927" s="364" t="s">
        <v>481</v>
      </c>
      <c r="N927" s="121"/>
      <c r="O927" s="346">
        <v>0</v>
      </c>
      <c r="P927" s="346">
        <v>0.99998842592592596</v>
      </c>
      <c r="Q927" s="346">
        <v>0.99998842592592596</v>
      </c>
      <c r="R927" s="390">
        <f>IF(Table6[[#This Row],[Work Start TimeStamp]]="","",(Table6[[#This Row],[Work Start TimeStamp]]-Table6[[#This Row],[Fault Start TimeStamp]])*24)</f>
        <v>23.999722222222225</v>
      </c>
      <c r="S927" s="390">
        <f>(Table6[[#This Row],[Fault Clearance time]]-Table6[[#This Row],[Work Start TimeStamp]])*24</f>
        <v>0</v>
      </c>
      <c r="T927" s="391">
        <f>(Table6[[#This Row],[Fault Clearance time]]-Table6[[#This Row],[Fault Start TimeStamp]])*24</f>
        <v>23.999722222222225</v>
      </c>
      <c r="U927" s="364" t="s">
        <v>498</v>
      </c>
      <c r="V927" s="364" t="s">
        <v>473</v>
      </c>
      <c r="W927" s="356">
        <f>Table6[[#This Row],[Breakdown Time]]*(1/39)</f>
        <v>0.61537749287749288</v>
      </c>
      <c r="X927" s="353" t="s">
        <v>1212</v>
      </c>
      <c r="Y927" s="39" t="s">
        <v>143</v>
      </c>
      <c r="Z927" s="15">
        <v>22500</v>
      </c>
      <c r="AA927" s="123">
        <f>IFERROR((Table6[[#This Row],[Paired WTG Generation for loss calculation]]/24)*Table6[[#This Row],[Breakdown Time]],"")</f>
        <v>22499.739583333336</v>
      </c>
      <c r="AB927" s="121" t="s">
        <v>478</v>
      </c>
      <c r="AC927" s="121"/>
      <c r="AD927" s="121"/>
    </row>
    <row r="928" spans="1:30">
      <c r="A928" s="121">
        <f t="shared" si="14"/>
        <v>927</v>
      </c>
      <c r="B928" s="381">
        <f>YEAR(Table6[[#This Row],[Date]])+IF(MONTH(Table6[[#This Row],[Date]])&gt;=4,1,0)</f>
        <v>2026</v>
      </c>
      <c r="C928" s="382">
        <f>YEAR(Table6[[#This Row],[Date]])</f>
        <v>2025</v>
      </c>
      <c r="D928" s="39" t="s">
        <v>490</v>
      </c>
      <c r="E928" s="135">
        <f>Table6[[#This Row],[Date]]-DAY(Table6[[#This Row],[Date]])+1</f>
        <v>45839</v>
      </c>
      <c r="F928" s="383">
        <v>45843</v>
      </c>
      <c r="G928" s="121" t="s">
        <v>142</v>
      </c>
      <c r="H928" s="39" t="str">
        <f>_xlfn.XLOOKUP(Table6[[#This Row],[Affected WTG]],'Basic Data'!$A:$A,'Basic Data'!$B:$B)</f>
        <v>PWEGPL</v>
      </c>
      <c r="I928" s="39" t="str">
        <f>_xlfn.XLOOKUP(Table6[[#This Row],[Affected WTG]],'Basic Data'!$A:$A,'Basic Data'!$C:$C)</f>
        <v>MSEDCL</v>
      </c>
      <c r="J928" s="389">
        <f>IFERROR(VLOOKUP(Table6[[#This Row],[Affected WTG]],'Basic Data'!$A$3:$E$56,5,0),"")</f>
        <v>2.564102564102564E-2</v>
      </c>
      <c r="K928" s="121" t="s">
        <v>492</v>
      </c>
      <c r="L928" s="386" t="str">
        <f>IFERROR(VLOOKUP(Table6[[#This Row],[Error Code]],'Basic Data'!$T:$U,2,0),"")</f>
        <v>Manual Stop - Safety Related</v>
      </c>
      <c r="M928" s="364" t="s">
        <v>481</v>
      </c>
      <c r="N928" s="121"/>
      <c r="O928" s="346">
        <v>0</v>
      </c>
      <c r="P928" s="346">
        <v>0.99998842592592596</v>
      </c>
      <c r="Q928" s="346">
        <v>0.99998842592592596</v>
      </c>
      <c r="R928" s="390">
        <f>IF(Table6[[#This Row],[Work Start TimeStamp]]="","",(Table6[[#This Row],[Work Start TimeStamp]]-Table6[[#This Row],[Fault Start TimeStamp]])*24)</f>
        <v>23.999722222222225</v>
      </c>
      <c r="S928" s="390">
        <f>(Table6[[#This Row],[Fault Clearance time]]-Table6[[#This Row],[Work Start TimeStamp]])*24</f>
        <v>0</v>
      </c>
      <c r="T928" s="391">
        <f>(Table6[[#This Row],[Fault Clearance time]]-Table6[[#This Row],[Fault Start TimeStamp]])*24</f>
        <v>23.999722222222225</v>
      </c>
      <c r="U928" s="364" t="s">
        <v>498</v>
      </c>
      <c r="V928" s="364" t="s">
        <v>473</v>
      </c>
      <c r="W928" s="356">
        <f>Table6[[#This Row],[Breakdown Time]]*(1/39)</f>
        <v>0.61537749287749288</v>
      </c>
      <c r="X928" s="353" t="s">
        <v>1212</v>
      </c>
      <c r="Y928" s="39" t="s">
        <v>143</v>
      </c>
      <c r="Z928" s="15">
        <v>22500</v>
      </c>
      <c r="AA928" s="123">
        <f>IFERROR((Table6[[#This Row],[Paired WTG Generation for loss calculation]]/24)*Table6[[#This Row],[Breakdown Time]],"")</f>
        <v>22499.739583333336</v>
      </c>
      <c r="AB928" s="121" t="s">
        <v>478</v>
      </c>
      <c r="AC928" s="121"/>
      <c r="AD928" s="121"/>
    </row>
    <row r="929" spans="1:30">
      <c r="A929" s="121">
        <f t="shared" si="14"/>
        <v>928</v>
      </c>
      <c r="B929" s="381">
        <f>YEAR(Table6[[#This Row],[Date]])+IF(MONTH(Table6[[#This Row],[Date]])&gt;=4,1,0)</f>
        <v>2026</v>
      </c>
      <c r="C929" s="382">
        <f>YEAR(Table6[[#This Row],[Date]])</f>
        <v>2025</v>
      </c>
      <c r="D929" s="39" t="s">
        <v>490</v>
      </c>
      <c r="E929" s="135">
        <f>Table6[[#This Row],[Date]]-DAY(Table6[[#This Row],[Date]])+1</f>
        <v>45839</v>
      </c>
      <c r="F929" s="383">
        <v>45843</v>
      </c>
      <c r="G929" s="121" t="s">
        <v>131</v>
      </c>
      <c r="H929" s="39" t="str">
        <f>_xlfn.XLOOKUP(Table6[[#This Row],[Affected WTG]],'Basic Data'!$A:$A,'Basic Data'!$B:$B)</f>
        <v>PWEGPL</v>
      </c>
      <c r="I929" s="39" t="str">
        <f>_xlfn.XLOOKUP(Table6[[#This Row],[Affected WTG]],'Basic Data'!$A:$A,'Basic Data'!$C:$C)</f>
        <v>MSEDCL</v>
      </c>
      <c r="J929" s="389">
        <f>IFERROR(VLOOKUP(Table6[[#This Row],[Affected WTG]],'Basic Data'!$A$3:$E$56,5,0),"")</f>
        <v>2.564102564102564E-2</v>
      </c>
      <c r="K929" s="121">
        <v>5216</v>
      </c>
      <c r="L929" s="386" t="str">
        <f>IFERROR(VLOOKUP(Table6[[#This Row],[Error Code]],'Basic Data'!$T:$U,2,0),"")</f>
        <v>Grid Voltage Failure</v>
      </c>
      <c r="M929" s="364" t="s">
        <v>462</v>
      </c>
      <c r="N929" s="121"/>
      <c r="O929" s="346">
        <v>0</v>
      </c>
      <c r="P929" s="346">
        <v>0.99998842592592596</v>
      </c>
      <c r="Q929" s="346">
        <v>0.99998842592592596</v>
      </c>
      <c r="R929" s="390">
        <f>IF(Table6[[#This Row],[Work Start TimeStamp]]="","",(Table6[[#This Row],[Work Start TimeStamp]]-Table6[[#This Row],[Fault Start TimeStamp]])*24)</f>
        <v>23.999722222222225</v>
      </c>
      <c r="S929" s="390">
        <f>(Table6[[#This Row],[Fault Clearance time]]-Table6[[#This Row],[Work Start TimeStamp]])*24</f>
        <v>0</v>
      </c>
      <c r="T929" s="391">
        <f>(Table6[[#This Row],[Fault Clearance time]]-Table6[[#This Row],[Fault Start TimeStamp]])*24</f>
        <v>23.999722222222225</v>
      </c>
      <c r="U929" s="364" t="s">
        <v>1247</v>
      </c>
      <c r="V929" s="364" t="s">
        <v>473</v>
      </c>
      <c r="W929" s="356">
        <f>Table6[[#This Row],[Breakdown Time]]*(1/39)</f>
        <v>0.61537749287749288</v>
      </c>
      <c r="X929" s="353" t="s">
        <v>465</v>
      </c>
      <c r="Y929" s="364" t="s">
        <v>132</v>
      </c>
      <c r="Z929" s="15">
        <v>22499</v>
      </c>
      <c r="AA929" s="123">
        <f>IFERROR((Table6[[#This Row],[Paired WTG Generation for loss calculation]]/24)*Table6[[#This Row],[Breakdown Time]],"")</f>
        <v>22498.739594907413</v>
      </c>
      <c r="AB929" s="121" t="s">
        <v>478</v>
      </c>
      <c r="AC929" s="121"/>
      <c r="AD929" s="121"/>
    </row>
    <row r="930" spans="1:30">
      <c r="A930" s="121">
        <f t="shared" si="14"/>
        <v>929</v>
      </c>
      <c r="B930" s="381">
        <f>YEAR(Table6[[#This Row],[Date]])+IF(MONTH(Table6[[#This Row],[Date]])&gt;=4,1,0)</f>
        <v>2026</v>
      </c>
      <c r="C930" s="382">
        <f>YEAR(Table6[[#This Row],[Date]])</f>
        <v>2025</v>
      </c>
      <c r="D930" s="39" t="s">
        <v>490</v>
      </c>
      <c r="E930" s="135">
        <f>Table6[[#This Row],[Date]]-DAY(Table6[[#This Row],[Date]])+1</f>
        <v>45839</v>
      </c>
      <c r="F930" s="383">
        <v>45843</v>
      </c>
      <c r="G930" s="384" t="s">
        <v>145</v>
      </c>
      <c r="H930" s="39" t="str">
        <f>_xlfn.XLOOKUP(Table6[[#This Row],[Affected WTG]],'Basic Data'!$A:$A,'Basic Data'!$B:$B)</f>
        <v>PWEGPL</v>
      </c>
      <c r="I930" s="39" t="str">
        <f>_xlfn.XLOOKUP(Table6[[#This Row],[Affected WTG]],'Basic Data'!$A:$A,'Basic Data'!$C:$C)</f>
        <v>MSEDCL</v>
      </c>
      <c r="J930" s="389">
        <f>IFERROR(VLOOKUP(Table6[[#This Row],[Affected WTG]],'Basic Data'!$A$3:$E$56,5,0),"")</f>
        <v>2.564102564102564E-2</v>
      </c>
      <c r="K930" s="121">
        <v>552</v>
      </c>
      <c r="L930" s="386" t="str">
        <f>IFERROR(VLOOKUP(Table6[[#This Row],[Error Code]],'Basic Data'!$T:$U,2,0),"")</f>
        <v>Wear Brushes Generator Triggered Too Long</v>
      </c>
      <c r="M930" s="364" t="s">
        <v>462</v>
      </c>
      <c r="N930" s="121"/>
      <c r="O930" s="346">
        <v>0.44791666666666669</v>
      </c>
      <c r="P930" s="346">
        <v>0.47083333333333333</v>
      </c>
      <c r="Q930" s="346">
        <v>0.55277777777777781</v>
      </c>
      <c r="R930" s="390">
        <f>IF(Table6[[#This Row],[Work Start TimeStamp]]="","",(Table6[[#This Row],[Work Start TimeStamp]]-Table6[[#This Row],[Fault Start TimeStamp]])*24)</f>
        <v>0.54999999999999938</v>
      </c>
      <c r="S930" s="390">
        <f>(Table6[[#This Row],[Fault Clearance time]]-Table6[[#This Row],[Work Start TimeStamp]])*24</f>
        <v>1.9666666666666677</v>
      </c>
      <c r="T930" s="391">
        <f>(Table6[[#This Row],[Fault Clearance time]]-Table6[[#This Row],[Fault Start TimeStamp]])*24</f>
        <v>2.5166666666666671</v>
      </c>
      <c r="U930" s="364" t="s">
        <v>1331</v>
      </c>
      <c r="V930" s="364" t="s">
        <v>463</v>
      </c>
      <c r="W930" s="356">
        <f>Table6[[#This Row],[Breakdown Time]]*(1/39)</f>
        <v>6.4529914529914537E-2</v>
      </c>
      <c r="X930" s="353" t="s">
        <v>465</v>
      </c>
      <c r="Y930" s="364" t="s">
        <v>139</v>
      </c>
      <c r="Z930" s="15">
        <v>20625</v>
      </c>
      <c r="AA930" s="123">
        <f>IFERROR((Table6[[#This Row],[Paired WTG Generation for loss calculation]]/24)*Table6[[#This Row],[Breakdown Time]],"")</f>
        <v>2162.760416666667</v>
      </c>
      <c r="AB930" s="121" t="s">
        <v>478</v>
      </c>
      <c r="AC930" s="121"/>
      <c r="AD930" s="121"/>
    </row>
    <row r="931" spans="1:30">
      <c r="A931" s="121">
        <f t="shared" si="14"/>
        <v>930</v>
      </c>
      <c r="B931" s="381">
        <f>YEAR(Table6[[#This Row],[Date]])+IF(MONTH(Table6[[#This Row],[Date]])&gt;=4,1,0)</f>
        <v>2026</v>
      </c>
      <c r="C931" s="382">
        <f>YEAR(Table6[[#This Row],[Date]])</f>
        <v>2025</v>
      </c>
      <c r="D931" s="39" t="s">
        <v>490</v>
      </c>
      <c r="E931" s="135">
        <f>Table6[[#This Row],[Date]]-DAY(Table6[[#This Row],[Date]])+1</f>
        <v>45839</v>
      </c>
      <c r="F931" s="383">
        <v>45843</v>
      </c>
      <c r="G931" s="384" t="s">
        <v>125</v>
      </c>
      <c r="H931" s="39" t="str">
        <f>_xlfn.XLOOKUP(Table6[[#This Row],[Affected WTG]],'Basic Data'!$A:$A,'Basic Data'!$B:$B)</f>
        <v>PWEGPL</v>
      </c>
      <c r="I931" s="39" t="str">
        <f>_xlfn.XLOOKUP(Table6[[#This Row],[Affected WTG]],'Basic Data'!$A:$A,'Basic Data'!$C:$C)</f>
        <v>MSEDCL</v>
      </c>
      <c r="J931" s="389">
        <f>IFERROR(VLOOKUP(Table6[[#This Row],[Affected WTG]],'Basic Data'!$A$3:$E$56,5,0),"")</f>
        <v>2.564102564102564E-2</v>
      </c>
      <c r="K931" s="121">
        <v>5263</v>
      </c>
      <c r="L931" s="386" t="str">
        <f>IFERROR(VLOOKUP(Table6[[#This Row],[Error Code]],'Basic Data'!$T:$U,2,0),"")</f>
        <v>CAN Communication Failure</v>
      </c>
      <c r="M931" s="364" t="s">
        <v>462</v>
      </c>
      <c r="N931" s="121"/>
      <c r="O931" s="346">
        <v>0.5854166666666667</v>
      </c>
      <c r="P931" s="346">
        <v>0.61111111111111116</v>
      </c>
      <c r="Q931" s="346">
        <v>0.61458333333333337</v>
      </c>
      <c r="R931" s="390">
        <f>IF(Table6[[#This Row],[Work Start TimeStamp]]="","",(Table6[[#This Row],[Work Start TimeStamp]]-Table6[[#This Row],[Fault Start TimeStamp]])*24)</f>
        <v>0.61666666666666714</v>
      </c>
      <c r="S931" s="390">
        <f>(Table6[[#This Row],[Fault Clearance time]]-Table6[[#This Row],[Work Start TimeStamp]])*24</f>
        <v>8.3333333333333037E-2</v>
      </c>
      <c r="T931" s="391">
        <f>(Table6[[#This Row],[Fault Clearance time]]-Table6[[#This Row],[Fault Start TimeStamp]])*24</f>
        <v>0.70000000000000018</v>
      </c>
      <c r="U931" s="364" t="s">
        <v>493</v>
      </c>
      <c r="V931" s="364" t="s">
        <v>463</v>
      </c>
      <c r="W931" s="356">
        <f>Table6[[#This Row],[Breakdown Time]]*(1/39)</f>
        <v>1.7948717948717954E-2</v>
      </c>
      <c r="X931" s="353" t="s">
        <v>465</v>
      </c>
      <c r="Y931" s="364" t="s">
        <v>124</v>
      </c>
      <c r="Z931" s="15">
        <v>21814</v>
      </c>
      <c r="AA931" s="123">
        <f>IFERROR((Table6[[#This Row],[Paired WTG Generation for loss calculation]]/24)*Table6[[#This Row],[Breakdown Time]],"")</f>
        <v>636.24166666666679</v>
      </c>
      <c r="AB931" s="121" t="s">
        <v>478</v>
      </c>
      <c r="AC931" s="121"/>
      <c r="AD931" s="121"/>
    </row>
    <row r="932" spans="1:30">
      <c r="A932" s="121">
        <f t="shared" si="14"/>
        <v>931</v>
      </c>
      <c r="B932" s="381">
        <f>YEAR(Table6[[#This Row],[Date]])+IF(MONTH(Table6[[#This Row],[Date]])&gt;=4,1,0)</f>
        <v>2026</v>
      </c>
      <c r="C932" s="382">
        <f>YEAR(Table6[[#This Row],[Date]])</f>
        <v>2025</v>
      </c>
      <c r="D932" s="39" t="s">
        <v>490</v>
      </c>
      <c r="E932" s="135">
        <f>Table6[[#This Row],[Date]]-DAY(Table6[[#This Row],[Date]])+1</f>
        <v>45839</v>
      </c>
      <c r="F932" s="383">
        <v>45844</v>
      </c>
      <c r="G932" s="384" t="s">
        <v>144</v>
      </c>
      <c r="H932" s="39" t="str">
        <f>_xlfn.XLOOKUP(Table6[[#This Row],[Affected WTG]],'Basic Data'!$A:$A,'Basic Data'!$B:$B)</f>
        <v>PWEGPL</v>
      </c>
      <c r="I932" s="39" t="str">
        <f>_xlfn.XLOOKUP(Table6[[#This Row],[Affected WTG]],'Basic Data'!$A:$A,'Basic Data'!$C:$C)</f>
        <v>MSEDCL</v>
      </c>
      <c r="J932" s="389">
        <f>IFERROR(VLOOKUP(Table6[[#This Row],[Affected WTG]],'Basic Data'!$A$3:$E$56,5,0),"")</f>
        <v>2.564102564102564E-2</v>
      </c>
      <c r="K932" s="121" t="s">
        <v>492</v>
      </c>
      <c r="L932" s="386" t="str">
        <f>IFERROR(VLOOKUP(Table6[[#This Row],[Error Code]],'Basic Data'!$T:$U,2,0),"")</f>
        <v>Manual Stop - Safety Related</v>
      </c>
      <c r="M932" s="364" t="s">
        <v>481</v>
      </c>
      <c r="N932" s="121"/>
      <c r="O932" s="346">
        <v>0</v>
      </c>
      <c r="P932" s="346">
        <v>0.99998842592592596</v>
      </c>
      <c r="Q932" s="346">
        <v>0.99998842592592596</v>
      </c>
      <c r="R932" s="390">
        <f>IF(Table6[[#This Row],[Work Start TimeStamp]]="","",(Table6[[#This Row],[Work Start TimeStamp]]-Table6[[#This Row],[Fault Start TimeStamp]])*24)</f>
        <v>23.999722222222225</v>
      </c>
      <c r="S932" s="390">
        <f>(Table6[[#This Row],[Fault Clearance time]]-Table6[[#This Row],[Work Start TimeStamp]])*24</f>
        <v>0</v>
      </c>
      <c r="T932" s="391">
        <f>(Table6[[#This Row],[Fault Clearance time]]-Table6[[#This Row],[Fault Start TimeStamp]])*24</f>
        <v>23.999722222222225</v>
      </c>
      <c r="U932" s="364" t="s">
        <v>498</v>
      </c>
      <c r="V932" s="364" t="s">
        <v>473</v>
      </c>
      <c r="W932" s="356">
        <f>Table6[[#This Row],[Breakdown Time]]*(1/39)</f>
        <v>0.61537749287749288</v>
      </c>
      <c r="X932" s="353" t="s">
        <v>1212</v>
      </c>
      <c r="Y932" s="39" t="s">
        <v>143</v>
      </c>
      <c r="Z932" s="15">
        <v>33225</v>
      </c>
      <c r="AA932" s="123">
        <f>IFERROR((Table6[[#This Row],[Paired WTG Generation for loss calculation]]/24)*Table6[[#This Row],[Breakdown Time]],"")</f>
        <v>33224.615451388891</v>
      </c>
      <c r="AB932" s="121" t="s">
        <v>478</v>
      </c>
      <c r="AC932" s="121"/>
      <c r="AD932" s="121"/>
    </row>
    <row r="933" spans="1:30">
      <c r="A933" s="121">
        <f t="shared" si="14"/>
        <v>932</v>
      </c>
      <c r="B933" s="381">
        <f>YEAR(Table6[[#This Row],[Date]])+IF(MONTH(Table6[[#This Row],[Date]])&gt;=4,1,0)</f>
        <v>2026</v>
      </c>
      <c r="C933" s="382">
        <f>YEAR(Table6[[#This Row],[Date]])</f>
        <v>2025</v>
      </c>
      <c r="D933" s="39" t="s">
        <v>490</v>
      </c>
      <c r="E933" s="135">
        <f>Table6[[#This Row],[Date]]-DAY(Table6[[#This Row],[Date]])+1</f>
        <v>45839</v>
      </c>
      <c r="F933" s="383">
        <v>45844</v>
      </c>
      <c r="G933" s="121" t="s">
        <v>142</v>
      </c>
      <c r="H933" s="39" t="str">
        <f>_xlfn.XLOOKUP(Table6[[#This Row],[Affected WTG]],'Basic Data'!$A:$A,'Basic Data'!$B:$B)</f>
        <v>PWEGPL</v>
      </c>
      <c r="I933" s="39" t="str">
        <f>_xlfn.XLOOKUP(Table6[[#This Row],[Affected WTG]],'Basic Data'!$A:$A,'Basic Data'!$C:$C)</f>
        <v>MSEDCL</v>
      </c>
      <c r="J933" s="389">
        <f>IFERROR(VLOOKUP(Table6[[#This Row],[Affected WTG]],'Basic Data'!$A$3:$E$56,5,0),"")</f>
        <v>2.564102564102564E-2</v>
      </c>
      <c r="K933" s="121" t="s">
        <v>492</v>
      </c>
      <c r="L933" s="386" t="str">
        <f>IFERROR(VLOOKUP(Table6[[#This Row],[Error Code]],'Basic Data'!$T:$U,2,0),"")</f>
        <v>Manual Stop - Safety Related</v>
      </c>
      <c r="M933" s="364" t="s">
        <v>481</v>
      </c>
      <c r="N933" s="121"/>
      <c r="O933" s="346">
        <v>0</v>
      </c>
      <c r="P933" s="346">
        <v>0.99998842592592596</v>
      </c>
      <c r="Q933" s="346">
        <v>0.99998842592592596</v>
      </c>
      <c r="R933" s="390">
        <f>IF(Table6[[#This Row],[Work Start TimeStamp]]="","",(Table6[[#This Row],[Work Start TimeStamp]]-Table6[[#This Row],[Fault Start TimeStamp]])*24)</f>
        <v>23.999722222222225</v>
      </c>
      <c r="S933" s="390">
        <f>(Table6[[#This Row],[Fault Clearance time]]-Table6[[#This Row],[Work Start TimeStamp]])*24</f>
        <v>0</v>
      </c>
      <c r="T933" s="391">
        <f>(Table6[[#This Row],[Fault Clearance time]]-Table6[[#This Row],[Fault Start TimeStamp]])*24</f>
        <v>23.999722222222225</v>
      </c>
      <c r="U933" s="364" t="s">
        <v>498</v>
      </c>
      <c r="V933" s="364" t="s">
        <v>473</v>
      </c>
      <c r="W933" s="356">
        <f>Table6[[#This Row],[Breakdown Time]]*(1/39)</f>
        <v>0.61537749287749288</v>
      </c>
      <c r="X933" s="353" t="s">
        <v>1212</v>
      </c>
      <c r="Y933" s="39" t="s">
        <v>143</v>
      </c>
      <c r="Z933" s="15">
        <v>33225</v>
      </c>
      <c r="AA933" s="123">
        <f>IFERROR((Table6[[#This Row],[Paired WTG Generation for loss calculation]]/24)*Table6[[#This Row],[Breakdown Time]],"")</f>
        <v>33224.615451388891</v>
      </c>
      <c r="AB933" s="121" t="s">
        <v>478</v>
      </c>
      <c r="AC933" s="121"/>
      <c r="AD933" s="121"/>
    </row>
    <row r="934" spans="1:30">
      <c r="A934" s="121">
        <f t="shared" si="14"/>
        <v>933</v>
      </c>
      <c r="B934" s="381">
        <f>YEAR(Table6[[#This Row],[Date]])+IF(MONTH(Table6[[#This Row],[Date]])&gt;=4,1,0)</f>
        <v>2026</v>
      </c>
      <c r="C934" s="382">
        <f>YEAR(Table6[[#This Row],[Date]])</f>
        <v>2025</v>
      </c>
      <c r="D934" s="39" t="s">
        <v>490</v>
      </c>
      <c r="E934" s="135">
        <f>Table6[[#This Row],[Date]]-DAY(Table6[[#This Row],[Date]])+1</f>
        <v>45839</v>
      </c>
      <c r="F934" s="383">
        <v>45844</v>
      </c>
      <c r="G934" s="121" t="s">
        <v>131</v>
      </c>
      <c r="H934" s="39" t="str">
        <f>_xlfn.XLOOKUP(Table6[[#This Row],[Affected WTG]],'Basic Data'!$A:$A,'Basic Data'!$B:$B)</f>
        <v>PWEGPL</v>
      </c>
      <c r="I934" s="39" t="str">
        <f>_xlfn.XLOOKUP(Table6[[#This Row],[Affected WTG]],'Basic Data'!$A:$A,'Basic Data'!$C:$C)</f>
        <v>MSEDCL</v>
      </c>
      <c r="J934" s="389">
        <f>IFERROR(VLOOKUP(Table6[[#This Row],[Affected WTG]],'Basic Data'!$A$3:$E$56,5,0),"")</f>
        <v>2.564102564102564E-2</v>
      </c>
      <c r="K934" s="121">
        <v>5216</v>
      </c>
      <c r="L934" s="386" t="str">
        <f>IFERROR(VLOOKUP(Table6[[#This Row],[Error Code]],'Basic Data'!$T:$U,2,0),"")</f>
        <v>Grid Voltage Failure</v>
      </c>
      <c r="M934" s="364" t="s">
        <v>462</v>
      </c>
      <c r="N934" s="121"/>
      <c r="O934" s="346">
        <v>0</v>
      </c>
      <c r="P934" s="346">
        <v>0.99998842592592596</v>
      </c>
      <c r="Q934" s="346">
        <v>0.99998842592592596</v>
      </c>
      <c r="R934" s="390">
        <f>IF(Table6[[#This Row],[Work Start TimeStamp]]="","",(Table6[[#This Row],[Work Start TimeStamp]]-Table6[[#This Row],[Fault Start TimeStamp]])*24)</f>
        <v>23.999722222222225</v>
      </c>
      <c r="S934" s="390">
        <f>(Table6[[#This Row],[Fault Clearance time]]-Table6[[#This Row],[Work Start TimeStamp]])*24</f>
        <v>0</v>
      </c>
      <c r="T934" s="391">
        <f>(Table6[[#This Row],[Fault Clearance time]]-Table6[[#This Row],[Fault Start TimeStamp]])*24</f>
        <v>23.999722222222225</v>
      </c>
      <c r="U934" s="364" t="s">
        <v>1247</v>
      </c>
      <c r="V934" s="364" t="s">
        <v>473</v>
      </c>
      <c r="W934" s="356">
        <f>Table6[[#This Row],[Breakdown Time]]*(1/39)</f>
        <v>0.61537749287749288</v>
      </c>
      <c r="X934" s="353" t="s">
        <v>465</v>
      </c>
      <c r="Y934" s="364" t="s">
        <v>132</v>
      </c>
      <c r="Z934" s="15">
        <v>32045</v>
      </c>
      <c r="AA934" s="123">
        <f>IFERROR((Table6[[#This Row],[Paired WTG Generation for loss calculation]]/24)*Table6[[#This Row],[Breakdown Time]],"")</f>
        <v>32044.629108796296</v>
      </c>
      <c r="AB934" s="121" t="s">
        <v>478</v>
      </c>
      <c r="AC934" s="121"/>
      <c r="AD934" s="121"/>
    </row>
    <row r="935" spans="1:30">
      <c r="A935" s="121">
        <f t="shared" si="14"/>
        <v>934</v>
      </c>
      <c r="B935" s="381">
        <f>YEAR(Table6[[#This Row],[Date]])+IF(MONTH(Table6[[#This Row],[Date]])&gt;=4,1,0)</f>
        <v>2026</v>
      </c>
      <c r="C935" s="382">
        <f>YEAR(Table6[[#This Row],[Date]])</f>
        <v>2025</v>
      </c>
      <c r="D935" s="39" t="s">
        <v>490</v>
      </c>
      <c r="E935" s="135">
        <f>Table6[[#This Row],[Date]]-DAY(Table6[[#This Row],[Date]])+1</f>
        <v>45839</v>
      </c>
      <c r="F935" s="383">
        <v>45844</v>
      </c>
      <c r="G935" s="121" t="s">
        <v>148</v>
      </c>
      <c r="H935" s="39" t="str">
        <f>_xlfn.XLOOKUP(Table6[[#This Row],[Affected WTG]],'Basic Data'!$A:$A,'Basic Data'!$B:$B)</f>
        <v>PWEGPL</v>
      </c>
      <c r="I935" s="39" t="str">
        <f>_xlfn.XLOOKUP(Table6[[#This Row],[Affected WTG]],'Basic Data'!$A:$A,'Basic Data'!$C:$C)</f>
        <v>MSEDCL</v>
      </c>
      <c r="J935" s="389">
        <f>IFERROR(VLOOKUP(Table6[[#This Row],[Affected WTG]],'Basic Data'!$A$3:$E$56,5,0),"")</f>
        <v>2.564102564102564E-2</v>
      </c>
      <c r="K935" s="121">
        <v>711</v>
      </c>
      <c r="L935" s="386" t="str">
        <f>IFERROR(VLOOKUP(Table6[[#This Row],[Error Code]],'Basic Data'!$T:$U,2,0),"")</f>
        <v>Sonic Error.NRG Operates</v>
      </c>
      <c r="M935" s="364" t="s">
        <v>462</v>
      </c>
      <c r="N935" s="121"/>
      <c r="O935" s="346">
        <v>0.52777777777777779</v>
      </c>
      <c r="P935" s="346">
        <v>0.54236111111111107</v>
      </c>
      <c r="Q935" s="346">
        <v>0.59375</v>
      </c>
      <c r="R935" s="390">
        <f>IF(Table6[[#This Row],[Work Start TimeStamp]]="","",(Table6[[#This Row],[Work Start TimeStamp]]-Table6[[#This Row],[Fault Start TimeStamp]])*24)</f>
        <v>0.34999999999999876</v>
      </c>
      <c r="S935" s="390">
        <f>(Table6[[#This Row],[Fault Clearance time]]-Table6[[#This Row],[Work Start TimeStamp]])*24</f>
        <v>1.2333333333333343</v>
      </c>
      <c r="T935" s="391">
        <f>(Table6[[#This Row],[Fault Clearance time]]-Table6[[#This Row],[Fault Start TimeStamp]])*24</f>
        <v>1.583333333333333</v>
      </c>
      <c r="U935" s="364" t="s">
        <v>1333</v>
      </c>
      <c r="V935" s="364" t="s">
        <v>463</v>
      </c>
      <c r="W935" s="356">
        <f>Table6[[#This Row],[Breakdown Time]]*(1/39)</f>
        <v>4.0598290598290586E-2</v>
      </c>
      <c r="X935" s="353" t="s">
        <v>465</v>
      </c>
      <c r="Y935" s="364" t="s">
        <v>149</v>
      </c>
      <c r="Z935" s="15">
        <v>24441</v>
      </c>
      <c r="AA935" s="123">
        <f>IFERROR((Table6[[#This Row],[Paired WTG Generation for loss calculation]]/24)*Table6[[#This Row],[Breakdown Time]],"")</f>
        <v>1612.427083333333</v>
      </c>
      <c r="AB935" s="121" t="s">
        <v>478</v>
      </c>
      <c r="AC935" s="121"/>
      <c r="AD935" s="121"/>
    </row>
    <row r="936" spans="1:30">
      <c r="A936" s="121">
        <f t="shared" si="14"/>
        <v>935</v>
      </c>
      <c r="B936" s="381">
        <f>YEAR(Table6[[#This Row],[Date]])+IF(MONTH(Table6[[#This Row],[Date]])&gt;=4,1,0)</f>
        <v>2026</v>
      </c>
      <c r="C936" s="382">
        <f>YEAR(Table6[[#This Row],[Date]])</f>
        <v>2025</v>
      </c>
      <c r="D936" s="39" t="s">
        <v>490</v>
      </c>
      <c r="E936" s="135">
        <f>Table6[[#This Row],[Date]]-DAY(Table6[[#This Row],[Date]])+1</f>
        <v>45839</v>
      </c>
      <c r="F936" s="383">
        <v>45844</v>
      </c>
      <c r="G936" s="384" t="s">
        <v>130</v>
      </c>
      <c r="H936" s="39" t="str">
        <f>_xlfn.XLOOKUP(Table6[[#This Row],[Affected WTG]],'Basic Data'!$A:$A,'Basic Data'!$B:$B)</f>
        <v>PWEGPL</v>
      </c>
      <c r="I936" s="39" t="str">
        <f>_xlfn.XLOOKUP(Table6[[#This Row],[Affected WTG]],'Basic Data'!$A:$A,'Basic Data'!$C:$C)</f>
        <v>MSEDCL</v>
      </c>
      <c r="J936" s="389">
        <f>IFERROR(VLOOKUP(Table6[[#This Row],[Affected WTG]],'Basic Data'!$A$3:$E$56,5,0),"")</f>
        <v>2.564102564102564E-2</v>
      </c>
      <c r="K936" s="121">
        <v>502</v>
      </c>
      <c r="L936" s="386" t="str">
        <f>IFERROR(VLOOKUP(Table6[[#This Row],[Error Code]],'Basic Data'!$T:$U,2,0),"")</f>
        <v>Generator NDE Bearing High Temperature Alarm</v>
      </c>
      <c r="M936" s="364" t="s">
        <v>462</v>
      </c>
      <c r="N936" s="121"/>
      <c r="O936" s="346">
        <v>0.71527777777777779</v>
      </c>
      <c r="P936" s="346">
        <v>0.72222222222222221</v>
      </c>
      <c r="Q936" s="346">
        <v>0.75694444444444442</v>
      </c>
      <c r="R936" s="390">
        <f>IF(Table6[[#This Row],[Work Start TimeStamp]]="","",(Table6[[#This Row],[Work Start TimeStamp]]-Table6[[#This Row],[Fault Start TimeStamp]])*24)</f>
        <v>0.16666666666666607</v>
      </c>
      <c r="S936" s="390">
        <f>(Table6[[#This Row],[Fault Clearance time]]-Table6[[#This Row],[Work Start TimeStamp]])*24</f>
        <v>0.83333333333333304</v>
      </c>
      <c r="T936" s="391">
        <f>(Table6[[#This Row],[Fault Clearance time]]-Table6[[#This Row],[Fault Start TimeStamp]])*24</f>
        <v>0.99999999999999911</v>
      </c>
      <c r="U936" s="364" t="s">
        <v>1334</v>
      </c>
      <c r="V936" s="364" t="s">
        <v>463</v>
      </c>
      <c r="W936" s="356">
        <f>Table6[[#This Row],[Breakdown Time]]*(1/39)</f>
        <v>2.5641025641025616E-2</v>
      </c>
      <c r="X936" s="353" t="s">
        <v>465</v>
      </c>
      <c r="Y936" s="364" t="s">
        <v>132</v>
      </c>
      <c r="Z936" s="15">
        <v>32045</v>
      </c>
      <c r="AA936" s="123">
        <f>IFERROR((Table6[[#This Row],[Paired WTG Generation for loss calculation]]/24)*Table6[[#This Row],[Breakdown Time]],"")</f>
        <v>1335.2083333333321</v>
      </c>
      <c r="AB936" s="121" t="s">
        <v>478</v>
      </c>
      <c r="AC936" s="121"/>
      <c r="AD936" s="121"/>
    </row>
    <row r="937" spans="1:30">
      <c r="A937" s="121">
        <f t="shared" si="14"/>
        <v>936</v>
      </c>
      <c r="B937" s="381">
        <f>YEAR(Table6[[#This Row],[Date]])+IF(MONTH(Table6[[#This Row],[Date]])&gt;=4,1,0)</f>
        <v>2026</v>
      </c>
      <c r="C937" s="382">
        <f>YEAR(Table6[[#This Row],[Date]])</f>
        <v>2025</v>
      </c>
      <c r="D937" s="39" t="s">
        <v>490</v>
      </c>
      <c r="E937" s="135">
        <f>Table6[[#This Row],[Date]]-DAY(Table6[[#This Row],[Date]])+1</f>
        <v>45839</v>
      </c>
      <c r="F937" s="383">
        <v>45845</v>
      </c>
      <c r="G937" s="384" t="s">
        <v>144</v>
      </c>
      <c r="H937" s="39" t="str">
        <f>_xlfn.XLOOKUP(Table6[[#This Row],[Affected WTG]],'Basic Data'!$A:$A,'Basic Data'!$B:$B)</f>
        <v>PWEGPL</v>
      </c>
      <c r="I937" s="39" t="str">
        <f>_xlfn.XLOOKUP(Table6[[#This Row],[Affected WTG]],'Basic Data'!$A:$A,'Basic Data'!$C:$C)</f>
        <v>MSEDCL</v>
      </c>
      <c r="J937" s="389">
        <f>IFERROR(VLOOKUP(Table6[[#This Row],[Affected WTG]],'Basic Data'!$A$3:$E$56,5,0),"")</f>
        <v>2.564102564102564E-2</v>
      </c>
      <c r="K937" s="121" t="s">
        <v>492</v>
      </c>
      <c r="L937" s="386" t="str">
        <f>IFERROR(VLOOKUP(Table6[[#This Row],[Error Code]],'Basic Data'!$T:$U,2,0),"")</f>
        <v>Manual Stop - Safety Related</v>
      </c>
      <c r="M937" s="364" t="s">
        <v>481</v>
      </c>
      <c r="N937" s="121"/>
      <c r="O937" s="346">
        <v>0</v>
      </c>
      <c r="P937" s="346">
        <v>0.99998842592592596</v>
      </c>
      <c r="Q937" s="346">
        <v>0.99998842592592596</v>
      </c>
      <c r="R937" s="390">
        <f>IF(Table6[[#This Row],[Work Start TimeStamp]]="","",(Table6[[#This Row],[Work Start TimeStamp]]-Table6[[#This Row],[Fault Start TimeStamp]])*24)</f>
        <v>23.999722222222225</v>
      </c>
      <c r="S937" s="390">
        <f>(Table6[[#This Row],[Fault Clearance time]]-Table6[[#This Row],[Work Start TimeStamp]])*24</f>
        <v>0</v>
      </c>
      <c r="T937" s="391">
        <f>(Table6[[#This Row],[Fault Clearance time]]-Table6[[#This Row],[Fault Start TimeStamp]])*24</f>
        <v>23.999722222222225</v>
      </c>
      <c r="U937" s="364" t="s">
        <v>498</v>
      </c>
      <c r="V937" s="364" t="s">
        <v>473</v>
      </c>
      <c r="W937" s="356">
        <f>Table6[[#This Row],[Breakdown Time]]*(1/39)</f>
        <v>0.61537749287749288</v>
      </c>
      <c r="X937" s="353" t="s">
        <v>1212</v>
      </c>
      <c r="Y937" s="39" t="s">
        <v>143</v>
      </c>
      <c r="Z937" s="15">
        <v>9225</v>
      </c>
      <c r="AA937" s="123">
        <f>IFERROR((Table6[[#This Row],[Paired WTG Generation for loss calculation]]/24)*Table6[[#This Row],[Breakdown Time]],"")</f>
        <v>9224.8932291666679</v>
      </c>
      <c r="AB937" s="121" t="s">
        <v>478</v>
      </c>
      <c r="AC937" s="121"/>
      <c r="AD937" s="121"/>
    </row>
    <row r="938" spans="1:30">
      <c r="A938" s="121">
        <f t="shared" si="14"/>
        <v>937</v>
      </c>
      <c r="B938" s="381">
        <f>YEAR(Table6[[#This Row],[Date]])+IF(MONTH(Table6[[#This Row],[Date]])&gt;=4,1,0)</f>
        <v>2026</v>
      </c>
      <c r="C938" s="382">
        <f>YEAR(Table6[[#This Row],[Date]])</f>
        <v>2025</v>
      </c>
      <c r="D938" s="39" t="s">
        <v>490</v>
      </c>
      <c r="E938" s="135">
        <f>Table6[[#This Row],[Date]]-DAY(Table6[[#This Row],[Date]])+1</f>
        <v>45839</v>
      </c>
      <c r="F938" s="383">
        <v>45845</v>
      </c>
      <c r="G938" s="121" t="s">
        <v>142</v>
      </c>
      <c r="H938" s="39" t="str">
        <f>_xlfn.XLOOKUP(Table6[[#This Row],[Affected WTG]],'Basic Data'!$A:$A,'Basic Data'!$B:$B)</f>
        <v>PWEGPL</v>
      </c>
      <c r="I938" s="39" t="str">
        <f>_xlfn.XLOOKUP(Table6[[#This Row],[Affected WTG]],'Basic Data'!$A:$A,'Basic Data'!$C:$C)</f>
        <v>MSEDCL</v>
      </c>
      <c r="J938" s="389">
        <f>IFERROR(VLOOKUP(Table6[[#This Row],[Affected WTG]],'Basic Data'!$A$3:$E$56,5,0),"")</f>
        <v>2.564102564102564E-2</v>
      </c>
      <c r="K938" s="121" t="s">
        <v>492</v>
      </c>
      <c r="L938" s="386" t="str">
        <f>IFERROR(VLOOKUP(Table6[[#This Row],[Error Code]],'Basic Data'!$T:$U,2,0),"")</f>
        <v>Manual Stop - Safety Related</v>
      </c>
      <c r="M938" s="364" t="s">
        <v>481</v>
      </c>
      <c r="N938" s="121"/>
      <c r="O938" s="346">
        <v>0</v>
      </c>
      <c r="P938" s="346">
        <v>0.99998842592592596</v>
      </c>
      <c r="Q938" s="346">
        <v>0.99998842592592596</v>
      </c>
      <c r="R938" s="390">
        <f>IF(Table6[[#This Row],[Work Start TimeStamp]]="","",(Table6[[#This Row],[Work Start TimeStamp]]-Table6[[#This Row],[Fault Start TimeStamp]])*24)</f>
        <v>23.999722222222225</v>
      </c>
      <c r="S938" s="390">
        <f>(Table6[[#This Row],[Fault Clearance time]]-Table6[[#This Row],[Work Start TimeStamp]])*24</f>
        <v>0</v>
      </c>
      <c r="T938" s="391">
        <f>(Table6[[#This Row],[Fault Clearance time]]-Table6[[#This Row],[Fault Start TimeStamp]])*24</f>
        <v>23.999722222222225</v>
      </c>
      <c r="U938" s="364" t="s">
        <v>498</v>
      </c>
      <c r="V938" s="364" t="s">
        <v>473</v>
      </c>
      <c r="W938" s="356">
        <f>Table6[[#This Row],[Breakdown Time]]*(1/39)</f>
        <v>0.61537749287749288</v>
      </c>
      <c r="X938" s="353" t="s">
        <v>1212</v>
      </c>
      <c r="Y938" s="39" t="s">
        <v>143</v>
      </c>
      <c r="Z938" s="15">
        <v>9225</v>
      </c>
      <c r="AA938" s="123">
        <f>IFERROR((Table6[[#This Row],[Paired WTG Generation for loss calculation]]/24)*Table6[[#This Row],[Breakdown Time]],"")</f>
        <v>9224.8932291666679</v>
      </c>
      <c r="AB938" s="121" t="s">
        <v>478</v>
      </c>
      <c r="AC938" s="121"/>
      <c r="AD938" s="121"/>
    </row>
    <row r="939" spans="1:30">
      <c r="A939" s="121">
        <f t="shared" si="14"/>
        <v>938</v>
      </c>
      <c r="B939" s="381">
        <f>YEAR(Table6[[#This Row],[Date]])+IF(MONTH(Table6[[#This Row],[Date]])&gt;=4,1,0)</f>
        <v>2026</v>
      </c>
      <c r="C939" s="382">
        <f>YEAR(Table6[[#This Row],[Date]])</f>
        <v>2025</v>
      </c>
      <c r="D939" s="39" t="s">
        <v>490</v>
      </c>
      <c r="E939" s="135">
        <f>Table6[[#This Row],[Date]]-DAY(Table6[[#This Row],[Date]])+1</f>
        <v>45839</v>
      </c>
      <c r="F939" s="383">
        <v>45845</v>
      </c>
      <c r="G939" s="121" t="s">
        <v>131</v>
      </c>
      <c r="H939" s="39" t="str">
        <f>_xlfn.XLOOKUP(Table6[[#This Row],[Affected WTG]],'Basic Data'!$A:$A,'Basic Data'!$B:$B)</f>
        <v>PWEGPL</v>
      </c>
      <c r="I939" s="39" t="str">
        <f>_xlfn.XLOOKUP(Table6[[#This Row],[Affected WTG]],'Basic Data'!$A:$A,'Basic Data'!$C:$C)</f>
        <v>MSEDCL</v>
      </c>
      <c r="J939" s="389">
        <f>IFERROR(VLOOKUP(Table6[[#This Row],[Affected WTG]],'Basic Data'!$A$3:$E$56,5,0),"")</f>
        <v>2.564102564102564E-2</v>
      </c>
      <c r="K939" s="121">
        <v>5216</v>
      </c>
      <c r="L939" s="386" t="str">
        <f>IFERROR(VLOOKUP(Table6[[#This Row],[Error Code]],'Basic Data'!$T:$U,2,0),"")</f>
        <v>Grid Voltage Failure</v>
      </c>
      <c r="M939" s="364" t="s">
        <v>462</v>
      </c>
      <c r="N939" s="121"/>
      <c r="O939" s="346">
        <v>0</v>
      </c>
      <c r="P939" s="346">
        <v>0.99998842592592596</v>
      </c>
      <c r="Q939" s="346">
        <v>0.99998842592592596</v>
      </c>
      <c r="R939" s="390">
        <f>IF(Table6[[#This Row],[Work Start TimeStamp]]="","",(Table6[[#This Row],[Work Start TimeStamp]]-Table6[[#This Row],[Fault Start TimeStamp]])*24)</f>
        <v>23.999722222222225</v>
      </c>
      <c r="S939" s="390">
        <f>(Table6[[#This Row],[Fault Clearance time]]-Table6[[#This Row],[Work Start TimeStamp]])*24</f>
        <v>0</v>
      </c>
      <c r="T939" s="391">
        <f>(Table6[[#This Row],[Fault Clearance time]]-Table6[[#This Row],[Fault Start TimeStamp]])*24</f>
        <v>23.999722222222225</v>
      </c>
      <c r="U939" s="364" t="s">
        <v>1247</v>
      </c>
      <c r="V939" s="364" t="s">
        <v>473</v>
      </c>
      <c r="W939" s="356">
        <f>Table6[[#This Row],[Breakdown Time]]*(1/39)</f>
        <v>0.61537749287749288</v>
      </c>
      <c r="X939" s="353" t="s">
        <v>465</v>
      </c>
      <c r="Y939" s="364" t="s">
        <v>132</v>
      </c>
      <c r="Z939" s="15">
        <v>13935</v>
      </c>
      <c r="AA939" s="123">
        <f>IFERROR((Table6[[#This Row],[Paired WTG Generation for loss calculation]]/24)*Table6[[#This Row],[Breakdown Time]],"")</f>
        <v>13934.83871527778</v>
      </c>
      <c r="AB939" s="121" t="s">
        <v>478</v>
      </c>
      <c r="AC939" s="121"/>
      <c r="AD939" s="121"/>
    </row>
    <row r="940" spans="1:30">
      <c r="A940" s="121">
        <f t="shared" si="14"/>
        <v>939</v>
      </c>
      <c r="B940" s="381">
        <f>YEAR(Table6[[#This Row],[Date]])+IF(MONTH(Table6[[#This Row],[Date]])&gt;=4,1,0)</f>
        <v>2026</v>
      </c>
      <c r="C940" s="382">
        <f>YEAR(Table6[[#This Row],[Date]])</f>
        <v>2025</v>
      </c>
      <c r="D940" s="39" t="s">
        <v>490</v>
      </c>
      <c r="E940" s="135">
        <f>Table6[[#This Row],[Date]]-DAY(Table6[[#This Row],[Date]])+1</f>
        <v>45839</v>
      </c>
      <c r="F940" s="383">
        <v>45845</v>
      </c>
      <c r="G940" s="384" t="s">
        <v>137</v>
      </c>
      <c r="H940" s="39" t="str">
        <f>_xlfn.XLOOKUP(Table6[[#This Row],[Affected WTG]],'Basic Data'!$A:$A,'Basic Data'!$B:$B)</f>
        <v>PWEGPL</v>
      </c>
      <c r="I940" s="39" t="str">
        <f>_xlfn.XLOOKUP(Table6[[#This Row],[Affected WTG]],'Basic Data'!$A:$A,'Basic Data'!$C:$C)</f>
        <v>MSEDCL</v>
      </c>
      <c r="J940" s="389">
        <f>IFERROR(VLOOKUP(Table6[[#This Row],[Affected WTG]],'Basic Data'!$A$3:$E$56,5,0),"")</f>
        <v>2.564102564102564E-2</v>
      </c>
      <c r="K940" s="121">
        <v>205</v>
      </c>
      <c r="L940" s="386" t="str">
        <f>IFERROR(VLOOKUP(Table6[[#This Row],[Error Code]],'Basic Data'!$T:$U,2,0),"")</f>
        <v>Low Level Hydraulic Group Refrigeration Oil</v>
      </c>
      <c r="M940" s="364" t="s">
        <v>462</v>
      </c>
      <c r="N940" s="121"/>
      <c r="O940" s="346">
        <v>0.625</v>
      </c>
      <c r="P940" s="346">
        <v>0.65208333333333335</v>
      </c>
      <c r="Q940" s="346">
        <v>0.70833333333333337</v>
      </c>
      <c r="R940" s="390">
        <f>IF(Table6[[#This Row],[Work Start TimeStamp]]="","",(Table6[[#This Row],[Work Start TimeStamp]]-Table6[[#This Row],[Fault Start TimeStamp]])*24)</f>
        <v>0.65000000000000036</v>
      </c>
      <c r="S940" s="390">
        <f>(Table6[[#This Row],[Fault Clearance time]]-Table6[[#This Row],[Work Start TimeStamp]])*24</f>
        <v>1.3500000000000005</v>
      </c>
      <c r="T940" s="391">
        <f>(Table6[[#This Row],[Fault Clearance time]]-Table6[[#This Row],[Fault Start TimeStamp]])*24</f>
        <v>2.0000000000000009</v>
      </c>
      <c r="U940" s="364" t="s">
        <v>1339</v>
      </c>
      <c r="V940" s="364" t="s">
        <v>463</v>
      </c>
      <c r="W940" s="356">
        <f>Table6[[#This Row],[Breakdown Time]]*(1/39)</f>
        <v>5.1282051282051301E-2</v>
      </c>
      <c r="X940" s="353" t="s">
        <v>465</v>
      </c>
      <c r="Y940" s="364" t="s">
        <v>136</v>
      </c>
      <c r="Z940" s="15">
        <v>9289</v>
      </c>
      <c r="AA940" s="123">
        <f>IFERROR((Table6[[#This Row],[Paired WTG Generation for loss calculation]]/24)*Table6[[#This Row],[Breakdown Time]],"")</f>
        <v>774.08333333333371</v>
      </c>
      <c r="AB940" s="121" t="s">
        <v>478</v>
      </c>
      <c r="AC940" s="121"/>
      <c r="AD940" s="121"/>
    </row>
    <row r="941" spans="1:30">
      <c r="A941" s="121">
        <f t="shared" si="14"/>
        <v>940</v>
      </c>
      <c r="B941" s="381">
        <f>YEAR(Table6[[#This Row],[Date]])+IF(MONTH(Table6[[#This Row],[Date]])&gt;=4,1,0)</f>
        <v>2026</v>
      </c>
      <c r="C941" s="382">
        <f>YEAR(Table6[[#This Row],[Date]])</f>
        <v>2025</v>
      </c>
      <c r="D941" s="39" t="s">
        <v>490</v>
      </c>
      <c r="E941" s="135">
        <f>Table6[[#This Row],[Date]]-DAY(Table6[[#This Row],[Date]])+1</f>
        <v>45839</v>
      </c>
      <c r="F941" s="383">
        <v>45845</v>
      </c>
      <c r="G941" s="384" t="s">
        <v>146</v>
      </c>
      <c r="H941" s="39" t="str">
        <f>_xlfn.XLOOKUP(Table6[[#This Row],[Affected WTG]],'Basic Data'!$A:$A,'Basic Data'!$B:$B)</f>
        <v>PWEGPL</v>
      </c>
      <c r="I941" s="39" t="str">
        <f>_xlfn.XLOOKUP(Table6[[#This Row],[Affected WTG]],'Basic Data'!$A:$A,'Basic Data'!$C:$C)</f>
        <v>MSEDCL</v>
      </c>
      <c r="J941" s="389">
        <f>IFERROR(VLOOKUP(Table6[[#This Row],[Affected WTG]],'Basic Data'!$A$3:$E$56,5,0),"")</f>
        <v>2.564102564102564E-2</v>
      </c>
      <c r="K941" s="121">
        <v>2118</v>
      </c>
      <c r="L941" s="386" t="str">
        <f>IFERROR(VLOOKUP(Table6[[#This Row],[Error Code]],'Basic Data'!$T:$U,2,0),"")</f>
        <v>Bus Error - Interbus Failure</v>
      </c>
      <c r="M941" s="364" t="s">
        <v>462</v>
      </c>
      <c r="N941" s="121"/>
      <c r="O941" s="346">
        <v>0.73958333333333337</v>
      </c>
      <c r="P941" s="346">
        <v>0.76388888888888884</v>
      </c>
      <c r="Q941" s="346">
        <v>0.76527777777777772</v>
      </c>
      <c r="R941" s="390">
        <f>IF(Table6[[#This Row],[Work Start TimeStamp]]="","",(Table6[[#This Row],[Work Start TimeStamp]]-Table6[[#This Row],[Fault Start TimeStamp]])*24)</f>
        <v>0.58333333333333126</v>
      </c>
      <c r="S941" s="390">
        <f>(Table6[[#This Row],[Fault Clearance time]]-Table6[[#This Row],[Work Start TimeStamp]])*24</f>
        <v>3.3333333333333215E-2</v>
      </c>
      <c r="T941" s="391">
        <f>(Table6[[#This Row],[Fault Clearance time]]-Table6[[#This Row],[Fault Start TimeStamp]])*24</f>
        <v>0.61666666666666448</v>
      </c>
      <c r="U941" s="364" t="s">
        <v>493</v>
      </c>
      <c r="V941" s="364" t="s">
        <v>463</v>
      </c>
      <c r="W941" s="356">
        <f>Table6[[#This Row],[Breakdown Time]]*(1/39)</f>
        <v>1.5811965811965756E-2</v>
      </c>
      <c r="X941" s="353" t="s">
        <v>465</v>
      </c>
      <c r="Y941" s="364" t="s">
        <v>147</v>
      </c>
      <c r="Z941" s="15">
        <v>8006</v>
      </c>
      <c r="AA941" s="123">
        <f>IFERROR((Table6[[#This Row],[Paired WTG Generation for loss calculation]]/24)*Table6[[#This Row],[Breakdown Time]],"")</f>
        <v>205.70972222222147</v>
      </c>
      <c r="AB941" s="121" t="s">
        <v>478</v>
      </c>
      <c r="AC941" s="121"/>
      <c r="AD941" s="121"/>
    </row>
    <row r="942" spans="1:30">
      <c r="A942" s="121">
        <f t="shared" si="14"/>
        <v>941</v>
      </c>
      <c r="B942" s="381">
        <f>YEAR(Table6[[#This Row],[Date]])+IF(MONTH(Table6[[#This Row],[Date]])&gt;=4,1,0)</f>
        <v>2026</v>
      </c>
      <c r="C942" s="382">
        <f>YEAR(Table6[[#This Row],[Date]])</f>
        <v>2025</v>
      </c>
      <c r="D942" s="39" t="s">
        <v>490</v>
      </c>
      <c r="E942" s="135">
        <f>Table6[[#This Row],[Date]]-DAY(Table6[[#This Row],[Date]])+1</f>
        <v>45839</v>
      </c>
      <c r="F942" s="383">
        <v>45846</v>
      </c>
      <c r="G942" s="384" t="s">
        <v>144</v>
      </c>
      <c r="H942" s="39" t="str">
        <f>_xlfn.XLOOKUP(Table6[[#This Row],[Affected WTG]],'Basic Data'!$A:$A,'Basic Data'!$B:$B)</f>
        <v>PWEGPL</v>
      </c>
      <c r="I942" s="39" t="str">
        <f>_xlfn.XLOOKUP(Table6[[#This Row],[Affected WTG]],'Basic Data'!$A:$A,'Basic Data'!$C:$C)</f>
        <v>MSEDCL</v>
      </c>
      <c r="J942" s="389">
        <f>IFERROR(VLOOKUP(Table6[[#This Row],[Affected WTG]],'Basic Data'!$A$3:$E$56,5,0),"")</f>
        <v>2.564102564102564E-2</v>
      </c>
      <c r="K942" s="121" t="s">
        <v>492</v>
      </c>
      <c r="L942" s="386" t="str">
        <f>IFERROR(VLOOKUP(Table6[[#This Row],[Error Code]],'Basic Data'!$T:$U,2,0),"")</f>
        <v>Manual Stop - Safety Related</v>
      </c>
      <c r="M942" s="364" t="s">
        <v>481</v>
      </c>
      <c r="N942" s="121"/>
      <c r="O942" s="346">
        <v>0</v>
      </c>
      <c r="P942" s="346">
        <v>0.99998842592592596</v>
      </c>
      <c r="Q942" s="346">
        <v>0.99998842592592596</v>
      </c>
      <c r="R942" s="390">
        <f>IF(Table6[[#This Row],[Work Start TimeStamp]]="","",(Table6[[#This Row],[Work Start TimeStamp]]-Table6[[#This Row],[Fault Start TimeStamp]])*24)</f>
        <v>23.999722222222225</v>
      </c>
      <c r="S942" s="390">
        <f>(Table6[[#This Row],[Fault Clearance time]]-Table6[[#This Row],[Work Start TimeStamp]])*24</f>
        <v>0</v>
      </c>
      <c r="T942" s="391">
        <f>(Table6[[#This Row],[Fault Clearance time]]-Table6[[#This Row],[Fault Start TimeStamp]])*24</f>
        <v>23.999722222222225</v>
      </c>
      <c r="U942" s="364" t="s">
        <v>498</v>
      </c>
      <c r="V942" s="364" t="s">
        <v>473</v>
      </c>
      <c r="W942" s="356">
        <f>Table6[[#This Row],[Breakdown Time]]*(1/39)</f>
        <v>0.61537749287749288</v>
      </c>
      <c r="X942" s="353" t="s">
        <v>1212</v>
      </c>
      <c r="Y942" s="39" t="s">
        <v>143</v>
      </c>
      <c r="Z942" s="15">
        <v>13450</v>
      </c>
      <c r="AA942" s="123">
        <f>IFERROR((Table6[[#This Row],[Paired WTG Generation for loss calculation]]/24)*Table6[[#This Row],[Breakdown Time]],"")</f>
        <v>13449.844328703704</v>
      </c>
      <c r="AB942" s="121" t="s">
        <v>478</v>
      </c>
      <c r="AC942" s="121"/>
      <c r="AD942" s="121"/>
    </row>
    <row r="943" spans="1:30">
      <c r="A943" s="121">
        <f t="shared" si="14"/>
        <v>942</v>
      </c>
      <c r="B943" s="381">
        <f>YEAR(Table6[[#This Row],[Date]])+IF(MONTH(Table6[[#This Row],[Date]])&gt;=4,1,0)</f>
        <v>2026</v>
      </c>
      <c r="C943" s="382">
        <f>YEAR(Table6[[#This Row],[Date]])</f>
        <v>2025</v>
      </c>
      <c r="D943" s="39" t="s">
        <v>490</v>
      </c>
      <c r="E943" s="135">
        <f>Table6[[#This Row],[Date]]-DAY(Table6[[#This Row],[Date]])+1</f>
        <v>45839</v>
      </c>
      <c r="F943" s="383">
        <v>45846</v>
      </c>
      <c r="G943" s="121" t="s">
        <v>142</v>
      </c>
      <c r="H943" s="39" t="str">
        <f>_xlfn.XLOOKUP(Table6[[#This Row],[Affected WTG]],'Basic Data'!$A:$A,'Basic Data'!$B:$B)</f>
        <v>PWEGPL</v>
      </c>
      <c r="I943" s="39" t="str">
        <f>_xlfn.XLOOKUP(Table6[[#This Row],[Affected WTG]],'Basic Data'!$A:$A,'Basic Data'!$C:$C)</f>
        <v>MSEDCL</v>
      </c>
      <c r="J943" s="389">
        <f>IFERROR(VLOOKUP(Table6[[#This Row],[Affected WTG]],'Basic Data'!$A$3:$E$56,5,0),"")</f>
        <v>2.564102564102564E-2</v>
      </c>
      <c r="K943" s="121" t="s">
        <v>492</v>
      </c>
      <c r="L943" s="386" t="str">
        <f>IFERROR(VLOOKUP(Table6[[#This Row],[Error Code]],'Basic Data'!$T:$U,2,0),"")</f>
        <v>Manual Stop - Safety Related</v>
      </c>
      <c r="M943" s="364" t="s">
        <v>481</v>
      </c>
      <c r="N943" s="121"/>
      <c r="O943" s="346">
        <v>0</v>
      </c>
      <c r="P943" s="346">
        <v>0.99998842592592596</v>
      </c>
      <c r="Q943" s="346">
        <v>0.99998842592592596</v>
      </c>
      <c r="R943" s="390">
        <f>IF(Table6[[#This Row],[Work Start TimeStamp]]="","",(Table6[[#This Row],[Work Start TimeStamp]]-Table6[[#This Row],[Fault Start TimeStamp]])*24)</f>
        <v>23.999722222222225</v>
      </c>
      <c r="S943" s="390">
        <f>(Table6[[#This Row],[Fault Clearance time]]-Table6[[#This Row],[Work Start TimeStamp]])*24</f>
        <v>0</v>
      </c>
      <c r="T943" s="391">
        <f>(Table6[[#This Row],[Fault Clearance time]]-Table6[[#This Row],[Fault Start TimeStamp]])*24</f>
        <v>23.999722222222225</v>
      </c>
      <c r="U943" s="364" t="s">
        <v>498</v>
      </c>
      <c r="V943" s="364" t="s">
        <v>473</v>
      </c>
      <c r="W943" s="356">
        <f>Table6[[#This Row],[Breakdown Time]]*(1/39)</f>
        <v>0.61537749287749288</v>
      </c>
      <c r="X943" s="353" t="s">
        <v>1212</v>
      </c>
      <c r="Y943" s="39" t="s">
        <v>143</v>
      </c>
      <c r="Z943" s="15">
        <v>13450</v>
      </c>
      <c r="AA943" s="123">
        <f>IFERROR((Table6[[#This Row],[Paired WTG Generation for loss calculation]]/24)*Table6[[#This Row],[Breakdown Time]],"")</f>
        <v>13449.844328703704</v>
      </c>
      <c r="AB943" s="121" t="s">
        <v>478</v>
      </c>
      <c r="AC943" s="121"/>
      <c r="AD943" s="121"/>
    </row>
    <row r="944" spans="1:30">
      <c r="A944" s="121">
        <f t="shared" si="14"/>
        <v>943</v>
      </c>
      <c r="B944" s="381">
        <f>YEAR(Table6[[#This Row],[Date]])+IF(MONTH(Table6[[#This Row],[Date]])&gt;=4,1,0)</f>
        <v>2026</v>
      </c>
      <c r="C944" s="382">
        <f>YEAR(Table6[[#This Row],[Date]])</f>
        <v>2025</v>
      </c>
      <c r="D944" s="39" t="s">
        <v>490</v>
      </c>
      <c r="E944" s="135">
        <f>Table6[[#This Row],[Date]]-DAY(Table6[[#This Row],[Date]])+1</f>
        <v>45839</v>
      </c>
      <c r="F944" s="383">
        <v>45846</v>
      </c>
      <c r="G944" s="121" t="s">
        <v>131</v>
      </c>
      <c r="H944" s="39" t="str">
        <f>_xlfn.XLOOKUP(Table6[[#This Row],[Affected WTG]],'Basic Data'!$A:$A,'Basic Data'!$B:$B)</f>
        <v>PWEGPL</v>
      </c>
      <c r="I944" s="39" t="str">
        <f>_xlfn.XLOOKUP(Table6[[#This Row],[Affected WTG]],'Basic Data'!$A:$A,'Basic Data'!$C:$C)</f>
        <v>MSEDCL</v>
      </c>
      <c r="J944" s="389">
        <f>IFERROR(VLOOKUP(Table6[[#This Row],[Affected WTG]],'Basic Data'!$A$3:$E$56,5,0),"")</f>
        <v>2.564102564102564E-2</v>
      </c>
      <c r="K944" s="121">
        <v>5216</v>
      </c>
      <c r="L944" s="386" t="str">
        <f>IFERROR(VLOOKUP(Table6[[#This Row],[Error Code]],'Basic Data'!$T:$U,2,0),"")</f>
        <v>Grid Voltage Failure</v>
      </c>
      <c r="M944" s="364" t="s">
        <v>462</v>
      </c>
      <c r="N944" s="121"/>
      <c r="O944" s="346">
        <v>0</v>
      </c>
      <c r="P944" s="346">
        <v>0.99998842592592596</v>
      </c>
      <c r="Q944" s="346">
        <v>0.99998842592592596</v>
      </c>
      <c r="R944" s="390">
        <f>IF(Table6[[#This Row],[Work Start TimeStamp]]="","",(Table6[[#This Row],[Work Start TimeStamp]]-Table6[[#This Row],[Fault Start TimeStamp]])*24)</f>
        <v>23.999722222222225</v>
      </c>
      <c r="S944" s="390">
        <f>(Table6[[#This Row],[Fault Clearance time]]-Table6[[#This Row],[Work Start TimeStamp]])*24</f>
        <v>0</v>
      </c>
      <c r="T944" s="391">
        <f>(Table6[[#This Row],[Fault Clearance time]]-Table6[[#This Row],[Fault Start TimeStamp]])*24</f>
        <v>23.999722222222225</v>
      </c>
      <c r="U944" s="364" t="s">
        <v>1247</v>
      </c>
      <c r="V944" s="364" t="s">
        <v>473</v>
      </c>
      <c r="W944" s="356">
        <f>Table6[[#This Row],[Breakdown Time]]*(1/39)</f>
        <v>0.61537749287749288</v>
      </c>
      <c r="X944" s="353" t="s">
        <v>465</v>
      </c>
      <c r="Y944" s="364" t="s">
        <v>132</v>
      </c>
      <c r="Z944" s="15">
        <v>20689</v>
      </c>
      <c r="AA944" s="123">
        <f>IFERROR((Table6[[#This Row],[Paired WTG Generation for loss calculation]]/24)*Table6[[#This Row],[Breakdown Time]],"")</f>
        <v>20688.760543981483</v>
      </c>
      <c r="AB944" s="121" t="s">
        <v>478</v>
      </c>
      <c r="AC944" s="121"/>
      <c r="AD944" s="121"/>
    </row>
    <row r="945" spans="1:30">
      <c r="A945" s="121">
        <f t="shared" si="14"/>
        <v>944</v>
      </c>
      <c r="B945" s="381">
        <f>YEAR(Table6[[#This Row],[Date]])+IF(MONTH(Table6[[#This Row],[Date]])&gt;=4,1,0)</f>
        <v>2026</v>
      </c>
      <c r="C945" s="382">
        <f>YEAR(Table6[[#This Row],[Date]])</f>
        <v>2025</v>
      </c>
      <c r="D945" s="39" t="s">
        <v>490</v>
      </c>
      <c r="E945" s="135">
        <f>Table6[[#This Row],[Date]]-DAY(Table6[[#This Row],[Date]])+1</f>
        <v>45839</v>
      </c>
      <c r="F945" s="383">
        <v>45846</v>
      </c>
      <c r="G945" s="384" t="s">
        <v>115</v>
      </c>
      <c r="H945" s="39" t="str">
        <f>_xlfn.XLOOKUP(Table6[[#This Row],[Affected WTG]],'Basic Data'!$A:$A,'Basic Data'!$B:$B)</f>
        <v>PWEGPL</v>
      </c>
      <c r="I945" s="39" t="str">
        <f>_xlfn.XLOOKUP(Table6[[#This Row],[Affected WTG]],'Basic Data'!$A:$A,'Basic Data'!$C:$C)</f>
        <v>MSEDCL</v>
      </c>
      <c r="J945" s="389">
        <f>IFERROR(VLOOKUP(Table6[[#This Row],[Affected WTG]],'Basic Data'!$A$3:$E$56,5,0),"")</f>
        <v>2.564102564102564E-2</v>
      </c>
      <c r="K945" s="121">
        <v>800</v>
      </c>
      <c r="L945" s="386" t="str">
        <f>IFERROR(VLOOKUP(Table6[[#This Row],[Error Code]],'Basic Data'!$T:$U,2,0),"")</f>
        <v>Pitch Drive Error</v>
      </c>
      <c r="M945" s="364" t="s">
        <v>462</v>
      </c>
      <c r="N945" s="121"/>
      <c r="O945" s="346">
        <v>0.45833333333333331</v>
      </c>
      <c r="P945" s="346">
        <v>0.47361111111111109</v>
      </c>
      <c r="Q945" s="346">
        <v>0.74027777777777781</v>
      </c>
      <c r="R945" s="390">
        <f>IF(Table6[[#This Row],[Work Start TimeStamp]]="","",(Table6[[#This Row],[Work Start TimeStamp]]-Table6[[#This Row],[Fault Start TimeStamp]])*24)</f>
        <v>0.3666666666666667</v>
      </c>
      <c r="S945" s="390">
        <f>(Table6[[#This Row],[Fault Clearance time]]-Table6[[#This Row],[Work Start TimeStamp]])*24</f>
        <v>6.4000000000000012</v>
      </c>
      <c r="T945" s="391">
        <f>(Table6[[#This Row],[Fault Clearance time]]-Table6[[#This Row],[Fault Start TimeStamp]])*24</f>
        <v>6.7666666666666675</v>
      </c>
      <c r="U945" s="364" t="s">
        <v>1340</v>
      </c>
      <c r="V945" s="364" t="s">
        <v>463</v>
      </c>
      <c r="W945" s="356">
        <f>Table6[[#This Row],[Breakdown Time]]*(1/39)</f>
        <v>0.17350427350427353</v>
      </c>
      <c r="X945" s="353" t="s">
        <v>465</v>
      </c>
      <c r="Y945" s="364" t="s">
        <v>121</v>
      </c>
      <c r="Z945" s="15">
        <v>16576</v>
      </c>
      <c r="AA945" s="123">
        <f>IFERROR((Table6[[#This Row],[Paired WTG Generation for loss calculation]]/24)*Table6[[#This Row],[Breakdown Time]],"")</f>
        <v>4673.5111111111119</v>
      </c>
      <c r="AB945" s="121" t="s">
        <v>478</v>
      </c>
      <c r="AC945" s="121"/>
      <c r="AD945" s="121"/>
    </row>
    <row r="946" spans="1:30">
      <c r="A946" s="121">
        <f t="shared" si="14"/>
        <v>945</v>
      </c>
      <c r="B946" s="381">
        <f>YEAR(Table6[[#This Row],[Date]])+IF(MONTH(Table6[[#This Row],[Date]])&gt;=4,1,0)</f>
        <v>2026</v>
      </c>
      <c r="C946" s="382">
        <f>YEAR(Table6[[#This Row],[Date]])</f>
        <v>2025</v>
      </c>
      <c r="D946" s="39" t="s">
        <v>490</v>
      </c>
      <c r="E946" s="135">
        <f>Table6[[#This Row],[Date]]-DAY(Table6[[#This Row],[Date]])+1</f>
        <v>45839</v>
      </c>
      <c r="F946" s="383">
        <v>45846</v>
      </c>
      <c r="G946" s="384" t="s">
        <v>145</v>
      </c>
      <c r="H946" s="39" t="str">
        <f>_xlfn.XLOOKUP(Table6[[#This Row],[Affected WTG]],'Basic Data'!$A:$A,'Basic Data'!$B:$B)</f>
        <v>PWEGPL</v>
      </c>
      <c r="I946" s="39" t="str">
        <f>_xlfn.XLOOKUP(Table6[[#This Row],[Affected WTG]],'Basic Data'!$A:$A,'Basic Data'!$C:$C)</f>
        <v>MSEDCL</v>
      </c>
      <c r="J946" s="389">
        <f>IFERROR(VLOOKUP(Table6[[#This Row],[Affected WTG]],'Basic Data'!$A$3:$E$56,5,0),"")</f>
        <v>2.564102564102564E-2</v>
      </c>
      <c r="K946" s="121">
        <v>1821</v>
      </c>
      <c r="L946" s="386" t="str">
        <f>IFERROR(VLOOKUP(Table6[[#This Row],[Error Code]],'Basic Data'!$T:$U,2,0),"")</f>
        <v>Heating Protection Triggered</v>
      </c>
      <c r="M946" s="364" t="s">
        <v>462</v>
      </c>
      <c r="N946" s="121"/>
      <c r="O946" s="346">
        <v>0.70833333333333337</v>
      </c>
      <c r="P946" s="346">
        <v>0.71875</v>
      </c>
      <c r="Q946" s="346">
        <v>0.8125</v>
      </c>
      <c r="R946" s="390">
        <f>IF(Table6[[#This Row],[Work Start TimeStamp]]="","",(Table6[[#This Row],[Work Start TimeStamp]]-Table6[[#This Row],[Fault Start TimeStamp]])*24)</f>
        <v>0.24999999999999911</v>
      </c>
      <c r="S946" s="390">
        <f>(Table6[[#This Row],[Fault Clearance time]]-Table6[[#This Row],[Work Start TimeStamp]])*24</f>
        <v>2.25</v>
      </c>
      <c r="T946" s="391">
        <f>(Table6[[#This Row],[Fault Clearance time]]-Table6[[#This Row],[Fault Start TimeStamp]])*24</f>
        <v>2.4999999999999991</v>
      </c>
      <c r="U946" s="364" t="s">
        <v>1341</v>
      </c>
      <c r="V946" s="364" t="s">
        <v>463</v>
      </c>
      <c r="W946" s="356">
        <f>Table6[[#This Row],[Breakdown Time]]*(1/39)</f>
        <v>6.4102564102564083E-2</v>
      </c>
      <c r="X946" s="353" t="s">
        <v>465</v>
      </c>
      <c r="Y946" s="364" t="s">
        <v>139</v>
      </c>
      <c r="Z946" s="15">
        <v>10015</v>
      </c>
      <c r="AA946" s="123">
        <f>IFERROR((Table6[[#This Row],[Paired WTG Generation for loss calculation]]/24)*Table6[[#This Row],[Breakdown Time]],"")</f>
        <v>1043.2291666666663</v>
      </c>
      <c r="AB946" s="121" t="s">
        <v>478</v>
      </c>
      <c r="AC946" s="121"/>
      <c r="AD946" s="121"/>
    </row>
    <row r="947" spans="1:30">
      <c r="A947" s="121">
        <f t="shared" si="14"/>
        <v>946</v>
      </c>
      <c r="B947" s="381">
        <f>YEAR(Table6[[#This Row],[Date]])+IF(MONTH(Table6[[#This Row],[Date]])&gt;=4,1,0)</f>
        <v>2026</v>
      </c>
      <c r="C947" s="382">
        <f>YEAR(Table6[[#This Row],[Date]])</f>
        <v>2025</v>
      </c>
      <c r="D947" s="39" t="s">
        <v>490</v>
      </c>
      <c r="E947" s="135">
        <f>Table6[[#This Row],[Date]]-DAY(Table6[[#This Row],[Date]])+1</f>
        <v>45839</v>
      </c>
      <c r="F947" s="383">
        <v>45847</v>
      </c>
      <c r="G947" s="384" t="s">
        <v>144</v>
      </c>
      <c r="H947" s="39" t="str">
        <f>_xlfn.XLOOKUP(Table6[[#This Row],[Affected WTG]],'Basic Data'!$A:$A,'Basic Data'!$B:$B)</f>
        <v>PWEGPL</v>
      </c>
      <c r="I947" s="39" t="str">
        <f>_xlfn.XLOOKUP(Table6[[#This Row],[Affected WTG]],'Basic Data'!$A:$A,'Basic Data'!$C:$C)</f>
        <v>MSEDCL</v>
      </c>
      <c r="J947" s="389">
        <f>IFERROR(VLOOKUP(Table6[[#This Row],[Affected WTG]],'Basic Data'!$A$3:$E$56,5,0),"")</f>
        <v>2.564102564102564E-2</v>
      </c>
      <c r="K947" s="121" t="s">
        <v>492</v>
      </c>
      <c r="L947" s="386" t="str">
        <f>IFERROR(VLOOKUP(Table6[[#This Row],[Error Code]],'Basic Data'!$T:$U,2,0),"")</f>
        <v>Manual Stop - Safety Related</v>
      </c>
      <c r="M947" s="364" t="s">
        <v>481</v>
      </c>
      <c r="N947" s="121"/>
      <c r="O947" s="346">
        <v>0</v>
      </c>
      <c r="P947" s="346">
        <v>0.99998842592592596</v>
      </c>
      <c r="Q947" s="346">
        <v>0.99998842592592596</v>
      </c>
      <c r="R947" s="390">
        <f>IF(Table6[[#This Row],[Work Start TimeStamp]]="","",(Table6[[#This Row],[Work Start TimeStamp]]-Table6[[#This Row],[Fault Start TimeStamp]])*24)</f>
        <v>23.999722222222225</v>
      </c>
      <c r="S947" s="390">
        <f>(Table6[[#This Row],[Fault Clearance time]]-Table6[[#This Row],[Work Start TimeStamp]])*24</f>
        <v>0</v>
      </c>
      <c r="T947" s="391">
        <f>(Table6[[#This Row],[Fault Clearance time]]-Table6[[#This Row],[Fault Start TimeStamp]])*24</f>
        <v>23.999722222222225</v>
      </c>
      <c r="U947" s="364" t="s">
        <v>498</v>
      </c>
      <c r="V947" s="364" t="s">
        <v>473</v>
      </c>
      <c r="W947" s="356">
        <f>Table6[[#This Row],[Breakdown Time]]*(1/39)</f>
        <v>0.61537749287749288</v>
      </c>
      <c r="X947" s="353" t="s">
        <v>1212</v>
      </c>
      <c r="Y947" s="39" t="s">
        <v>143</v>
      </c>
      <c r="Z947" s="357">
        <v>6877</v>
      </c>
      <c r="AA947" s="123">
        <f>IFERROR((Table6[[#This Row],[Paired WTG Generation for loss calculation]]/24)*Table6[[#This Row],[Breakdown Time]],"")</f>
        <v>6876.9204050925937</v>
      </c>
      <c r="AB947" s="121" t="s">
        <v>478</v>
      </c>
      <c r="AC947" s="121"/>
      <c r="AD947" s="121"/>
    </row>
    <row r="948" spans="1:30">
      <c r="A948" s="121">
        <f t="shared" si="14"/>
        <v>947</v>
      </c>
      <c r="B948" s="381">
        <f>YEAR(Table6[[#This Row],[Date]])+IF(MONTH(Table6[[#This Row],[Date]])&gt;=4,1,0)</f>
        <v>2026</v>
      </c>
      <c r="C948" s="382">
        <f>YEAR(Table6[[#This Row],[Date]])</f>
        <v>2025</v>
      </c>
      <c r="D948" s="39" t="s">
        <v>490</v>
      </c>
      <c r="E948" s="135">
        <f>Table6[[#This Row],[Date]]-DAY(Table6[[#This Row],[Date]])+1</f>
        <v>45839</v>
      </c>
      <c r="F948" s="383">
        <v>45847</v>
      </c>
      <c r="G948" s="121" t="s">
        <v>142</v>
      </c>
      <c r="H948" s="39" t="str">
        <f>_xlfn.XLOOKUP(Table6[[#This Row],[Affected WTG]],'Basic Data'!$A:$A,'Basic Data'!$B:$B)</f>
        <v>PWEGPL</v>
      </c>
      <c r="I948" s="39" t="str">
        <f>_xlfn.XLOOKUP(Table6[[#This Row],[Affected WTG]],'Basic Data'!$A:$A,'Basic Data'!$C:$C)</f>
        <v>MSEDCL</v>
      </c>
      <c r="J948" s="389">
        <f>IFERROR(VLOOKUP(Table6[[#This Row],[Affected WTG]],'Basic Data'!$A$3:$E$56,5,0),"")</f>
        <v>2.564102564102564E-2</v>
      </c>
      <c r="K948" s="121" t="s">
        <v>492</v>
      </c>
      <c r="L948" s="386" t="str">
        <f>IFERROR(VLOOKUP(Table6[[#This Row],[Error Code]],'Basic Data'!$T:$U,2,0),"")</f>
        <v>Manual Stop - Safety Related</v>
      </c>
      <c r="M948" s="364" t="s">
        <v>481</v>
      </c>
      <c r="N948" s="121"/>
      <c r="O948" s="346">
        <v>0</v>
      </c>
      <c r="P948" s="346">
        <v>0.99998842592592596</v>
      </c>
      <c r="Q948" s="346">
        <v>0.99998842592592596</v>
      </c>
      <c r="R948" s="390">
        <f>IF(Table6[[#This Row],[Work Start TimeStamp]]="","",(Table6[[#This Row],[Work Start TimeStamp]]-Table6[[#This Row],[Fault Start TimeStamp]])*24)</f>
        <v>23.999722222222225</v>
      </c>
      <c r="S948" s="390">
        <f>(Table6[[#This Row],[Fault Clearance time]]-Table6[[#This Row],[Work Start TimeStamp]])*24</f>
        <v>0</v>
      </c>
      <c r="T948" s="391">
        <f>(Table6[[#This Row],[Fault Clearance time]]-Table6[[#This Row],[Fault Start TimeStamp]])*24</f>
        <v>23.999722222222225</v>
      </c>
      <c r="U948" s="364" t="s">
        <v>498</v>
      </c>
      <c r="V948" s="364" t="s">
        <v>473</v>
      </c>
      <c r="W948" s="356">
        <f>Table6[[#This Row],[Breakdown Time]]*(1/39)</f>
        <v>0.61537749287749288</v>
      </c>
      <c r="X948" s="353" t="s">
        <v>1212</v>
      </c>
      <c r="Y948" s="39" t="s">
        <v>143</v>
      </c>
      <c r="Z948" s="357">
        <v>6877</v>
      </c>
      <c r="AA948" s="123">
        <f>IFERROR((Table6[[#This Row],[Paired WTG Generation for loss calculation]]/24)*Table6[[#This Row],[Breakdown Time]],"")</f>
        <v>6876.9204050925937</v>
      </c>
      <c r="AB948" s="121" t="s">
        <v>478</v>
      </c>
      <c r="AC948" s="121"/>
      <c r="AD948" s="121"/>
    </row>
    <row r="949" spans="1:30">
      <c r="A949" s="121">
        <f t="shared" si="14"/>
        <v>948</v>
      </c>
      <c r="B949" s="381">
        <f>YEAR(Table6[[#This Row],[Date]])+IF(MONTH(Table6[[#This Row],[Date]])&gt;=4,1,0)</f>
        <v>2026</v>
      </c>
      <c r="C949" s="382">
        <f>YEAR(Table6[[#This Row],[Date]])</f>
        <v>2025</v>
      </c>
      <c r="D949" s="39" t="s">
        <v>490</v>
      </c>
      <c r="E949" s="135">
        <f>Table6[[#This Row],[Date]]-DAY(Table6[[#This Row],[Date]])+1</f>
        <v>45839</v>
      </c>
      <c r="F949" s="383">
        <v>45847</v>
      </c>
      <c r="G949" s="121" t="s">
        <v>131</v>
      </c>
      <c r="H949" s="39" t="str">
        <f>_xlfn.XLOOKUP(Table6[[#This Row],[Affected WTG]],'Basic Data'!$A:$A,'Basic Data'!$B:$B)</f>
        <v>PWEGPL</v>
      </c>
      <c r="I949" s="39" t="str">
        <f>_xlfn.XLOOKUP(Table6[[#This Row],[Affected WTG]],'Basic Data'!$A:$A,'Basic Data'!$C:$C)</f>
        <v>MSEDCL</v>
      </c>
      <c r="J949" s="389">
        <f>IFERROR(VLOOKUP(Table6[[#This Row],[Affected WTG]],'Basic Data'!$A$3:$E$56,5,0),"")</f>
        <v>2.564102564102564E-2</v>
      </c>
      <c r="K949" s="121">
        <v>5216</v>
      </c>
      <c r="L949" s="386" t="str">
        <f>IFERROR(VLOOKUP(Table6[[#This Row],[Error Code]],'Basic Data'!$T:$U,2,0),"")</f>
        <v>Grid Voltage Failure</v>
      </c>
      <c r="M949" s="364" t="s">
        <v>462</v>
      </c>
      <c r="N949" s="121"/>
      <c r="O949" s="346">
        <v>0</v>
      </c>
      <c r="P949" s="346">
        <v>0.99998842592592596</v>
      </c>
      <c r="Q949" s="346">
        <v>0.99998842592592596</v>
      </c>
      <c r="R949" s="390">
        <f>IF(Table6[[#This Row],[Work Start TimeStamp]]="","",(Table6[[#This Row],[Work Start TimeStamp]]-Table6[[#This Row],[Fault Start TimeStamp]])*24)</f>
        <v>23.999722222222225</v>
      </c>
      <c r="S949" s="390">
        <f>(Table6[[#This Row],[Fault Clearance time]]-Table6[[#This Row],[Work Start TimeStamp]])*24</f>
        <v>0</v>
      </c>
      <c r="T949" s="391">
        <f>(Table6[[#This Row],[Fault Clearance time]]-Table6[[#This Row],[Fault Start TimeStamp]])*24</f>
        <v>23.999722222222225</v>
      </c>
      <c r="U949" s="364" t="s">
        <v>1247</v>
      </c>
      <c r="V949" s="364" t="s">
        <v>473</v>
      </c>
      <c r="W949" s="356">
        <f>Table6[[#This Row],[Breakdown Time]]*(1/39)</f>
        <v>0.61537749287749288</v>
      </c>
      <c r="X949" s="353" t="s">
        <v>465</v>
      </c>
      <c r="Y949" s="364" t="s">
        <v>132</v>
      </c>
      <c r="Z949" s="357">
        <v>12355</v>
      </c>
      <c r="AA949" s="123">
        <f>IFERROR((Table6[[#This Row],[Paired WTG Generation for loss calculation]]/24)*Table6[[#This Row],[Breakdown Time]],"")</f>
        <v>12354.857002314815</v>
      </c>
      <c r="AB949" s="121" t="s">
        <v>478</v>
      </c>
      <c r="AC949" s="121"/>
      <c r="AD949" s="121"/>
    </row>
    <row r="950" spans="1:30">
      <c r="A950" s="121">
        <f t="shared" si="14"/>
        <v>949</v>
      </c>
      <c r="B950" s="381">
        <f>YEAR(Table6[[#This Row],[Date]])+IF(MONTH(Table6[[#This Row],[Date]])&gt;=4,1,0)</f>
        <v>2026</v>
      </c>
      <c r="C950" s="382">
        <f>YEAR(Table6[[#This Row],[Date]])</f>
        <v>2025</v>
      </c>
      <c r="D950" s="39" t="s">
        <v>490</v>
      </c>
      <c r="E950" s="135">
        <f>Table6[[#This Row],[Date]]-DAY(Table6[[#This Row],[Date]])+1</f>
        <v>45839</v>
      </c>
      <c r="F950" s="383">
        <v>45847</v>
      </c>
      <c r="G950" s="384" t="s">
        <v>118</v>
      </c>
      <c r="H950" s="39" t="str">
        <f>_xlfn.XLOOKUP(Table6[[#This Row],[Affected WTG]],'Basic Data'!$A:$A,'Basic Data'!$B:$B)</f>
        <v>PWEGPL</v>
      </c>
      <c r="I950" s="39" t="str">
        <f>_xlfn.XLOOKUP(Table6[[#This Row],[Affected WTG]],'Basic Data'!$A:$A,'Basic Data'!$C:$C)</f>
        <v>MSEDCL</v>
      </c>
      <c r="J950" s="389">
        <f>IFERROR(VLOOKUP(Table6[[#This Row],[Affected WTG]],'Basic Data'!$A$3:$E$56,5,0),"")</f>
        <v>2.564102564102564E-2</v>
      </c>
      <c r="K950" s="121">
        <v>2118</v>
      </c>
      <c r="L950" s="386" t="str">
        <f>IFERROR(VLOOKUP(Table6[[#This Row],[Error Code]],'Basic Data'!$T:$U,2,0),"")</f>
        <v>Bus Error - Interbus Failure</v>
      </c>
      <c r="M950" s="364" t="s">
        <v>462</v>
      </c>
      <c r="N950" s="121"/>
      <c r="O950" s="346">
        <v>0.4375</v>
      </c>
      <c r="P950" s="346">
        <v>0.46875</v>
      </c>
      <c r="Q950" s="346">
        <v>0.52083333333333337</v>
      </c>
      <c r="R950" s="390">
        <f>IF(Table6[[#This Row],[Work Start TimeStamp]]="","",(Table6[[#This Row],[Work Start TimeStamp]]-Table6[[#This Row],[Fault Start TimeStamp]])*24)</f>
        <v>0.75</v>
      </c>
      <c r="S950" s="390">
        <f>(Table6[[#This Row],[Fault Clearance time]]-Table6[[#This Row],[Work Start TimeStamp]])*24</f>
        <v>1.2500000000000009</v>
      </c>
      <c r="T950" s="391">
        <f>(Table6[[#This Row],[Fault Clearance time]]-Table6[[#This Row],[Fault Start TimeStamp]])*24</f>
        <v>2.0000000000000009</v>
      </c>
      <c r="U950" s="364" t="s">
        <v>1344</v>
      </c>
      <c r="V950" s="364" t="s">
        <v>463</v>
      </c>
      <c r="W950" s="356">
        <f>Table6[[#This Row],[Breakdown Time]]*(1/39)</f>
        <v>5.1282051282051301E-2</v>
      </c>
      <c r="X950" s="353" t="s">
        <v>465</v>
      </c>
      <c r="Y950" s="364" t="s">
        <v>121</v>
      </c>
      <c r="Z950" s="357">
        <v>11467</v>
      </c>
      <c r="AA950" s="123">
        <f>IFERROR((Table6[[#This Row],[Paired WTG Generation for loss calculation]]/24)*Table6[[#This Row],[Breakdown Time]],"")</f>
        <v>955.58333333333383</v>
      </c>
      <c r="AB950" s="121" t="s">
        <v>478</v>
      </c>
      <c r="AC950" s="121"/>
      <c r="AD950" s="121"/>
    </row>
    <row r="951" spans="1:30">
      <c r="A951" s="121">
        <f>A950+1</f>
        <v>950</v>
      </c>
      <c r="B951" s="381">
        <f>YEAR(Table6[[#This Row],[Date]])+IF(MONTH(Table6[[#This Row],[Date]])&gt;=4,1,0)</f>
        <v>2026</v>
      </c>
      <c r="C951" s="382">
        <f>YEAR(Table6[[#This Row],[Date]])</f>
        <v>2025</v>
      </c>
      <c r="D951" s="39" t="s">
        <v>490</v>
      </c>
      <c r="E951" s="135">
        <f>Table6[[#This Row],[Date]]-DAY(Table6[[#This Row],[Date]])+1</f>
        <v>45839</v>
      </c>
      <c r="F951" s="383">
        <v>45847</v>
      </c>
      <c r="G951" s="384" t="s">
        <v>145</v>
      </c>
      <c r="H951" s="39" t="str">
        <f>_xlfn.XLOOKUP(Table6[[#This Row],[Affected WTG]],'Basic Data'!$A:$A,'Basic Data'!$B:$B)</f>
        <v>PWEGPL</v>
      </c>
      <c r="I951" s="39" t="str">
        <f>_xlfn.XLOOKUP(Table6[[#This Row],[Affected WTG]],'Basic Data'!$A:$A,'Basic Data'!$C:$C)</f>
        <v>MSEDCL</v>
      </c>
      <c r="J951" s="389">
        <f>IFERROR(VLOOKUP(Table6[[#This Row],[Affected WTG]],'Basic Data'!$A$3:$E$56,5,0),"")</f>
        <v>2.564102564102564E-2</v>
      </c>
      <c r="K951" s="121">
        <v>5203</v>
      </c>
      <c r="L951" s="386" t="str">
        <f>IFERROR(VLOOKUP(Table6[[#This Row],[Error Code]],'Basic Data'!$T:$U,2,0),"")</f>
        <v>Heating/Coolant Thermal Magnetic Failure</v>
      </c>
      <c r="M951" s="364" t="s">
        <v>462</v>
      </c>
      <c r="N951" s="121"/>
      <c r="O951" s="346">
        <v>0.49027777777777776</v>
      </c>
      <c r="P951" s="346">
        <v>0.50763888888888886</v>
      </c>
      <c r="Q951" s="346">
        <v>0.6694444444444444</v>
      </c>
      <c r="R951" s="390">
        <f>IF(Table6[[#This Row],[Work Start TimeStamp]]="","",(Table6[[#This Row],[Work Start TimeStamp]]-Table6[[#This Row],[Fault Start TimeStamp]])*24)</f>
        <v>0.41666666666666652</v>
      </c>
      <c r="S951" s="390">
        <f>(Table6[[#This Row],[Fault Clearance time]]-Table6[[#This Row],[Work Start TimeStamp]])*24</f>
        <v>3.8833333333333329</v>
      </c>
      <c r="T951" s="391">
        <f>(Table6[[#This Row],[Fault Clearance time]]-Table6[[#This Row],[Fault Start TimeStamp]])*24</f>
        <v>4.2999999999999989</v>
      </c>
      <c r="U951" s="364" t="s">
        <v>1345</v>
      </c>
      <c r="V951" s="364" t="s">
        <v>463</v>
      </c>
      <c r="W951" s="356">
        <f>Table6[[#This Row],[Breakdown Time]]*(1/39)</f>
        <v>0.11025641025641023</v>
      </c>
      <c r="X951" s="353" t="s">
        <v>465</v>
      </c>
      <c r="Y951" s="364" t="s">
        <v>139</v>
      </c>
      <c r="Z951" s="357">
        <v>7490</v>
      </c>
      <c r="AA951" s="123">
        <f>IFERROR((Table6[[#This Row],[Paired WTG Generation for loss calculation]]/24)*Table6[[#This Row],[Breakdown Time]],"")</f>
        <v>1341.958333333333</v>
      </c>
      <c r="AB951" s="121" t="s">
        <v>478</v>
      </c>
      <c r="AC951" s="121"/>
      <c r="AD951" s="121"/>
    </row>
    <row r="952" spans="1:30">
      <c r="A952" s="121">
        <f t="shared" ref="A952:A957" si="15">A951+1</f>
        <v>951</v>
      </c>
      <c r="B952" s="381">
        <f>YEAR(Table6[[#This Row],[Date]])+IF(MONTH(Table6[[#This Row],[Date]])&gt;=4,1,0)</f>
        <v>2026</v>
      </c>
      <c r="C952" s="382">
        <f>YEAR(Table6[[#This Row],[Date]])</f>
        <v>2025</v>
      </c>
      <c r="D952" s="39" t="s">
        <v>490</v>
      </c>
      <c r="E952" s="135">
        <f>Table6[[#This Row],[Date]]-DAY(Table6[[#This Row],[Date]])+1</f>
        <v>45839</v>
      </c>
      <c r="F952" s="383">
        <v>45848</v>
      </c>
      <c r="G952" s="384" t="s">
        <v>144</v>
      </c>
      <c r="H952" s="39" t="str">
        <f>_xlfn.XLOOKUP(Table6[[#This Row],[Affected WTG]],'Basic Data'!$A:$A,'Basic Data'!$B:$B)</f>
        <v>PWEGPL</v>
      </c>
      <c r="I952" s="39" t="str">
        <f>_xlfn.XLOOKUP(Table6[[#This Row],[Affected WTG]],'Basic Data'!$A:$A,'Basic Data'!$C:$C)</f>
        <v>MSEDCL</v>
      </c>
      <c r="J952" s="389">
        <f>IFERROR(VLOOKUP(Table6[[#This Row],[Affected WTG]],'Basic Data'!$A$3:$E$56,5,0),"")</f>
        <v>2.564102564102564E-2</v>
      </c>
      <c r="K952" s="121" t="s">
        <v>492</v>
      </c>
      <c r="L952" s="386" t="str">
        <f>IFERROR(VLOOKUP(Table6[[#This Row],[Error Code]],'Basic Data'!$T:$U,2,0),"")</f>
        <v>Manual Stop - Safety Related</v>
      </c>
      <c r="M952" s="364" t="s">
        <v>481</v>
      </c>
      <c r="N952" s="121"/>
      <c r="O952" s="346">
        <v>0</v>
      </c>
      <c r="P952" s="346">
        <v>0.83333333333333337</v>
      </c>
      <c r="Q952" s="346">
        <v>0.83333333333333337</v>
      </c>
      <c r="R952" s="390">
        <f>IF(Table6[[#This Row],[Work Start TimeStamp]]="","",(Table6[[#This Row],[Work Start TimeStamp]]-Table6[[#This Row],[Fault Start TimeStamp]])*24)</f>
        <v>20</v>
      </c>
      <c r="S952" s="390">
        <f>(Table6[[#This Row],[Fault Clearance time]]-Table6[[#This Row],[Work Start TimeStamp]])*24</f>
        <v>0</v>
      </c>
      <c r="T952" s="391">
        <f>(Table6[[#This Row],[Fault Clearance time]]-Table6[[#This Row],[Fault Start TimeStamp]])*24</f>
        <v>20</v>
      </c>
      <c r="U952" s="364" t="s">
        <v>498</v>
      </c>
      <c r="V952" s="364" t="s">
        <v>473</v>
      </c>
      <c r="W952" s="356">
        <f>Table6[[#This Row],[Breakdown Time]]*(1/39)</f>
        <v>0.51282051282051277</v>
      </c>
      <c r="X952" s="353" t="s">
        <v>1212</v>
      </c>
      <c r="Y952" s="39" t="s">
        <v>143</v>
      </c>
      <c r="Z952" s="15">
        <v>4510</v>
      </c>
      <c r="AA952" s="123">
        <f>IFERROR((Table6[[#This Row],[Paired WTG Generation for loss calculation]]/24)*Table6[[#This Row],[Breakdown Time]],"")</f>
        <v>3758.333333333333</v>
      </c>
      <c r="AB952" s="121" t="s">
        <v>478</v>
      </c>
      <c r="AC952" s="121"/>
      <c r="AD952" s="121"/>
    </row>
    <row r="953" spans="1:30">
      <c r="A953" s="121">
        <f t="shared" si="15"/>
        <v>952</v>
      </c>
      <c r="B953" s="381">
        <f>YEAR(Table6[[#This Row],[Date]])+IF(MONTH(Table6[[#This Row],[Date]])&gt;=4,1,0)</f>
        <v>2026</v>
      </c>
      <c r="C953" s="382">
        <f>YEAR(Table6[[#This Row],[Date]])</f>
        <v>2025</v>
      </c>
      <c r="D953" s="39" t="s">
        <v>490</v>
      </c>
      <c r="E953" s="135">
        <f>Table6[[#This Row],[Date]]-DAY(Table6[[#This Row],[Date]])+1</f>
        <v>45839</v>
      </c>
      <c r="F953" s="383">
        <v>45848</v>
      </c>
      <c r="G953" s="121" t="s">
        <v>142</v>
      </c>
      <c r="H953" s="39" t="str">
        <f>_xlfn.XLOOKUP(Table6[[#This Row],[Affected WTG]],'Basic Data'!$A:$A,'Basic Data'!$B:$B)</f>
        <v>PWEGPL</v>
      </c>
      <c r="I953" s="39" t="str">
        <f>_xlfn.XLOOKUP(Table6[[#This Row],[Affected WTG]],'Basic Data'!$A:$A,'Basic Data'!$C:$C)</f>
        <v>MSEDCL</v>
      </c>
      <c r="J953" s="389">
        <f>IFERROR(VLOOKUP(Table6[[#This Row],[Affected WTG]],'Basic Data'!$A$3:$E$56,5,0),"")</f>
        <v>2.564102564102564E-2</v>
      </c>
      <c r="K953" s="121" t="s">
        <v>492</v>
      </c>
      <c r="L953" s="386" t="str">
        <f>IFERROR(VLOOKUP(Table6[[#This Row],[Error Code]],'Basic Data'!$T:$U,2,0),"")</f>
        <v>Manual Stop - Safety Related</v>
      </c>
      <c r="M953" s="364" t="s">
        <v>481</v>
      </c>
      <c r="N953" s="121"/>
      <c r="O953" s="346">
        <v>0</v>
      </c>
      <c r="P953" s="346">
        <v>0.99998842592592596</v>
      </c>
      <c r="Q953" s="346">
        <v>0.99998842592592596</v>
      </c>
      <c r="R953" s="390">
        <f>IF(Table6[[#This Row],[Work Start TimeStamp]]="","",(Table6[[#This Row],[Work Start TimeStamp]]-Table6[[#This Row],[Fault Start TimeStamp]])*24)</f>
        <v>23.999722222222225</v>
      </c>
      <c r="S953" s="390">
        <f>(Table6[[#This Row],[Fault Clearance time]]-Table6[[#This Row],[Work Start TimeStamp]])*24</f>
        <v>0</v>
      </c>
      <c r="T953" s="391">
        <f>(Table6[[#This Row],[Fault Clearance time]]-Table6[[#This Row],[Fault Start TimeStamp]])*24</f>
        <v>23.999722222222225</v>
      </c>
      <c r="U953" s="364" t="s">
        <v>498</v>
      </c>
      <c r="V953" s="364" t="s">
        <v>473</v>
      </c>
      <c r="W953" s="356">
        <f>Table6[[#This Row],[Breakdown Time]]*(1/39)</f>
        <v>0.61537749287749288</v>
      </c>
      <c r="X953" s="353" t="s">
        <v>1212</v>
      </c>
      <c r="Y953" s="39" t="s">
        <v>143</v>
      </c>
      <c r="Z953" s="15">
        <v>4510</v>
      </c>
      <c r="AA953" s="123">
        <f>IFERROR((Table6[[#This Row],[Paired WTG Generation for loss calculation]]/24)*Table6[[#This Row],[Breakdown Time]],"")</f>
        <v>4509.9478009259265</v>
      </c>
      <c r="AB953" s="121" t="s">
        <v>478</v>
      </c>
      <c r="AC953" s="121"/>
      <c r="AD953" s="121"/>
    </row>
    <row r="954" spans="1:30">
      <c r="A954" s="121">
        <f t="shared" si="15"/>
        <v>953</v>
      </c>
      <c r="B954" s="381">
        <f>YEAR(Table6[[#This Row],[Date]])+IF(MONTH(Table6[[#This Row],[Date]])&gt;=4,1,0)</f>
        <v>2026</v>
      </c>
      <c r="C954" s="382">
        <f>YEAR(Table6[[#This Row],[Date]])</f>
        <v>2025</v>
      </c>
      <c r="D954" s="39" t="s">
        <v>490</v>
      </c>
      <c r="E954" s="135">
        <f>Table6[[#This Row],[Date]]-DAY(Table6[[#This Row],[Date]])+1</f>
        <v>45839</v>
      </c>
      <c r="F954" s="383">
        <v>45848</v>
      </c>
      <c r="G954" s="121" t="s">
        <v>131</v>
      </c>
      <c r="H954" s="39" t="str">
        <f>_xlfn.XLOOKUP(Table6[[#This Row],[Affected WTG]],'Basic Data'!$A:$A,'Basic Data'!$B:$B)</f>
        <v>PWEGPL</v>
      </c>
      <c r="I954" s="39" t="str">
        <f>_xlfn.XLOOKUP(Table6[[#This Row],[Affected WTG]],'Basic Data'!$A:$A,'Basic Data'!$C:$C)</f>
        <v>MSEDCL</v>
      </c>
      <c r="J954" s="389">
        <f>IFERROR(VLOOKUP(Table6[[#This Row],[Affected WTG]],'Basic Data'!$A$3:$E$56,5,0),"")</f>
        <v>2.564102564102564E-2</v>
      </c>
      <c r="K954" s="121">
        <v>5216</v>
      </c>
      <c r="L954" s="386" t="str">
        <f>IFERROR(VLOOKUP(Table6[[#This Row],[Error Code]],'Basic Data'!$T:$U,2,0),"")</f>
        <v>Grid Voltage Failure</v>
      </c>
      <c r="M954" s="364" t="s">
        <v>462</v>
      </c>
      <c r="N954" s="121"/>
      <c r="O954" s="346">
        <v>0</v>
      </c>
      <c r="P954" s="346">
        <v>0.99998842592592596</v>
      </c>
      <c r="Q954" s="346">
        <v>0.99998842592592596</v>
      </c>
      <c r="R954" s="390">
        <f>IF(Table6[[#This Row],[Work Start TimeStamp]]="","",(Table6[[#This Row],[Work Start TimeStamp]]-Table6[[#This Row],[Fault Start TimeStamp]])*24)</f>
        <v>23.999722222222225</v>
      </c>
      <c r="S954" s="390">
        <f>(Table6[[#This Row],[Fault Clearance time]]-Table6[[#This Row],[Work Start TimeStamp]])*24</f>
        <v>0</v>
      </c>
      <c r="T954" s="391">
        <f>(Table6[[#This Row],[Fault Clearance time]]-Table6[[#This Row],[Fault Start TimeStamp]])*24</f>
        <v>23.999722222222225</v>
      </c>
      <c r="U954" s="364" t="s">
        <v>1247</v>
      </c>
      <c r="V954" s="364" t="s">
        <v>473</v>
      </c>
      <c r="W954" s="356">
        <f>Table6[[#This Row],[Breakdown Time]]*(1/39)</f>
        <v>0.61537749287749288</v>
      </c>
      <c r="X954" s="353" t="s">
        <v>465</v>
      </c>
      <c r="Y954" s="364" t="s">
        <v>132</v>
      </c>
      <c r="Z954" s="15">
        <v>6420</v>
      </c>
      <c r="AA954" s="123">
        <f>IFERROR((Table6[[#This Row],[Paired WTG Generation for loss calculation]]/24)*Table6[[#This Row],[Breakdown Time]],"")</f>
        <v>6419.9256944444451</v>
      </c>
      <c r="AB954" s="121" t="s">
        <v>478</v>
      </c>
      <c r="AC954" s="121"/>
      <c r="AD954" s="121"/>
    </row>
    <row r="955" spans="1:30">
      <c r="A955" s="121">
        <f t="shared" si="15"/>
        <v>954</v>
      </c>
      <c r="B955" s="381">
        <f>YEAR(Table6[[#This Row],[Date]])+IF(MONTH(Table6[[#This Row],[Date]])&gt;=4,1,0)</f>
        <v>2026</v>
      </c>
      <c r="C955" s="382">
        <f>YEAR(Table6[[#This Row],[Date]])</f>
        <v>2025</v>
      </c>
      <c r="D955" s="39" t="s">
        <v>490</v>
      </c>
      <c r="E955" s="135">
        <f>Table6[[#This Row],[Date]]-DAY(Table6[[#This Row],[Date]])+1</f>
        <v>45839</v>
      </c>
      <c r="F955" s="383">
        <v>45848</v>
      </c>
      <c r="G955" s="384" t="s">
        <v>139</v>
      </c>
      <c r="H955" s="39" t="str">
        <f>_xlfn.XLOOKUP(Table6[[#This Row],[Affected WTG]],'Basic Data'!$A:$A,'Basic Data'!$B:$B)</f>
        <v>PWEGPL</v>
      </c>
      <c r="I955" s="39" t="str">
        <f>_xlfn.XLOOKUP(Table6[[#This Row],[Affected WTG]],'Basic Data'!$A:$A,'Basic Data'!$C:$C)</f>
        <v>MSEDCL</v>
      </c>
      <c r="J955" s="389">
        <f>IFERROR(VLOOKUP(Table6[[#This Row],[Affected WTG]],'Basic Data'!$A$3:$E$56,5,0),"")</f>
        <v>2.564102564102564E-2</v>
      </c>
      <c r="K955" s="121">
        <v>213</v>
      </c>
      <c r="L955" s="386" t="str">
        <f>IFERROR(VLOOKUP(Table6[[#This Row],[Error Code]],'Basic Data'!$T:$U,2,0),"")</f>
        <v>Hydraulic Pump Protection</v>
      </c>
      <c r="M955" s="364" t="s">
        <v>462</v>
      </c>
      <c r="N955" s="121"/>
      <c r="O955" s="346">
        <v>0.43402777777777779</v>
      </c>
      <c r="P955" s="346">
        <v>0.4513888888888889</v>
      </c>
      <c r="Q955" s="346">
        <v>0.50972222222222219</v>
      </c>
      <c r="R955" s="390">
        <f>IF(Table6[[#This Row],[Work Start TimeStamp]]="","",(Table6[[#This Row],[Work Start TimeStamp]]-Table6[[#This Row],[Fault Start TimeStamp]])*24)</f>
        <v>0.41666666666666652</v>
      </c>
      <c r="S955" s="390">
        <f>(Table6[[#This Row],[Fault Clearance time]]-Table6[[#This Row],[Work Start TimeStamp]])*24</f>
        <v>1.399999999999999</v>
      </c>
      <c r="T955" s="391">
        <f>(Table6[[#This Row],[Fault Clearance time]]-Table6[[#This Row],[Fault Start TimeStamp]])*24</f>
        <v>1.8166666666666655</v>
      </c>
      <c r="U955" s="364" t="s">
        <v>1346</v>
      </c>
      <c r="V955" s="364" t="s">
        <v>463</v>
      </c>
      <c r="W955" s="356">
        <f>Table6[[#This Row],[Breakdown Time]]*(1/39)</f>
        <v>4.6581196581196548E-2</v>
      </c>
      <c r="X955" s="353" t="s">
        <v>465</v>
      </c>
      <c r="Y955" s="364" t="s">
        <v>145</v>
      </c>
      <c r="Z955" s="15">
        <v>3520</v>
      </c>
      <c r="AA955" s="123">
        <f>IFERROR((Table6[[#This Row],[Paired WTG Generation for loss calculation]]/24)*Table6[[#This Row],[Breakdown Time]],"")</f>
        <v>266.44444444444429</v>
      </c>
      <c r="AB955" s="121" t="s">
        <v>478</v>
      </c>
      <c r="AC955" s="121"/>
      <c r="AD955" s="121"/>
    </row>
    <row r="956" spans="1:30">
      <c r="A956" s="121">
        <f t="shared" si="15"/>
        <v>955</v>
      </c>
      <c r="B956" s="381">
        <f>YEAR(Table6[[#This Row],[Date]])+IF(MONTH(Table6[[#This Row],[Date]])&gt;=4,1,0)</f>
        <v>2026</v>
      </c>
      <c r="C956" s="382">
        <f>YEAR(Table6[[#This Row],[Date]])</f>
        <v>2025</v>
      </c>
      <c r="D956" s="39" t="s">
        <v>490</v>
      </c>
      <c r="E956" s="135">
        <f>Table6[[#This Row],[Date]]-DAY(Table6[[#This Row],[Date]])+1</f>
        <v>45839</v>
      </c>
      <c r="F956" s="383">
        <v>45848</v>
      </c>
      <c r="G956" s="384" t="s">
        <v>141</v>
      </c>
      <c r="H956" s="39" t="str">
        <f>_xlfn.XLOOKUP(Table6[[#This Row],[Affected WTG]],'Basic Data'!$A:$A,'Basic Data'!$B:$B)</f>
        <v>PWEGPL</v>
      </c>
      <c r="I956" s="39" t="str">
        <f>_xlfn.XLOOKUP(Table6[[#This Row],[Affected WTG]],'Basic Data'!$A:$A,'Basic Data'!$C:$C)</f>
        <v>MSEDCL</v>
      </c>
      <c r="J956" s="389">
        <f>IFERROR(VLOOKUP(Table6[[#This Row],[Affected WTG]],'Basic Data'!$A$3:$E$56,5,0),"")</f>
        <v>2.564102564102564E-2</v>
      </c>
      <c r="K956" s="121">
        <v>213</v>
      </c>
      <c r="L956" s="386" t="str">
        <f>IFERROR(VLOOKUP(Table6[[#This Row],[Error Code]],'Basic Data'!$T:$U,2,0),"")</f>
        <v>Hydraulic Pump Protection</v>
      </c>
      <c r="M956" s="364" t="s">
        <v>462</v>
      </c>
      <c r="N956" s="121"/>
      <c r="O956" s="346">
        <v>0.52638888888888891</v>
      </c>
      <c r="P956" s="346">
        <v>0.54305555555555551</v>
      </c>
      <c r="Q956" s="346">
        <v>0.75694444444444442</v>
      </c>
      <c r="R956" s="390">
        <f>IF(Table6[[#This Row],[Work Start TimeStamp]]="","",(Table6[[#This Row],[Work Start TimeStamp]]-Table6[[#This Row],[Fault Start TimeStamp]])*24)</f>
        <v>0.39999999999999858</v>
      </c>
      <c r="S956" s="390">
        <f>(Table6[[#This Row],[Fault Clearance time]]-Table6[[#This Row],[Work Start TimeStamp]])*24</f>
        <v>5.1333333333333337</v>
      </c>
      <c r="T956" s="391">
        <f>(Table6[[#This Row],[Fault Clearance time]]-Table6[[#This Row],[Fault Start TimeStamp]])*24</f>
        <v>5.5333333333333323</v>
      </c>
      <c r="U956" s="364" t="s">
        <v>1347</v>
      </c>
      <c r="V956" s="364" t="s">
        <v>463</v>
      </c>
      <c r="W956" s="356">
        <f>Table6[[#This Row],[Breakdown Time]]*(1/39)</f>
        <v>0.14188034188034185</v>
      </c>
      <c r="X956" s="353" t="s">
        <v>465</v>
      </c>
      <c r="Y956" s="364" t="s">
        <v>143</v>
      </c>
      <c r="Z956" s="15">
        <v>4510</v>
      </c>
      <c r="AA956" s="123">
        <f>IFERROR((Table6[[#This Row],[Paired WTG Generation for loss calculation]]/24)*Table6[[#This Row],[Breakdown Time]],"")</f>
        <v>1039.8055555555552</v>
      </c>
      <c r="AB956" s="121" t="s">
        <v>478</v>
      </c>
      <c r="AC956" s="121"/>
      <c r="AD956" s="121"/>
    </row>
    <row r="957" spans="1:30">
      <c r="A957" s="121">
        <f t="shared" si="15"/>
        <v>956</v>
      </c>
      <c r="B957" s="381">
        <f>YEAR(Table6[[#This Row],[Date]])+IF(MONTH(Table6[[#This Row],[Date]])&gt;=4,1,0)</f>
        <v>2026</v>
      </c>
      <c r="C957" s="382">
        <f>YEAR(Table6[[#This Row],[Date]])</f>
        <v>2025</v>
      </c>
      <c r="D957" s="39" t="s">
        <v>490</v>
      </c>
      <c r="E957" s="135">
        <f>Table6[[#This Row],[Date]]-DAY(Table6[[#This Row],[Date]])+1</f>
        <v>45839</v>
      </c>
      <c r="F957" s="383">
        <v>45848</v>
      </c>
      <c r="G957" s="413" t="s">
        <v>144</v>
      </c>
      <c r="H957" s="414" t="s">
        <v>484</v>
      </c>
      <c r="I957" s="414" t="s">
        <v>485</v>
      </c>
      <c r="J957" s="389">
        <f>IFERROR(VLOOKUP(Table6[[#This Row],[Affected WTG]],'Basic Data'!$A$3:$E$56,5,0),"")</f>
        <v>2.564102564102564E-2</v>
      </c>
      <c r="K957" s="121">
        <v>700</v>
      </c>
      <c r="L957" s="386" t="str">
        <f>IFERROR(VLOOKUP(Table6[[#This Row],[Error Code]],'Basic Data'!$T:$U,2,0),"")</f>
        <v>PLC-Converter Communication Error</v>
      </c>
      <c r="M957" s="364" t="s">
        <v>462</v>
      </c>
      <c r="N957" s="121"/>
      <c r="O957" s="346">
        <v>0.83333333333333337</v>
      </c>
      <c r="P957" s="346">
        <v>0.83333333333333337</v>
      </c>
      <c r="Q957" s="346">
        <v>0.99930555555555556</v>
      </c>
      <c r="R957" s="390">
        <f>IF(Table6[[#This Row],[Work Start TimeStamp]]="","",(Table6[[#This Row],[Work Start TimeStamp]]-Table6[[#This Row],[Fault Start TimeStamp]])*24)</f>
        <v>0</v>
      </c>
      <c r="S957" s="390">
        <f>(Table6[[#This Row],[Fault Clearance time]]-Table6[[#This Row],[Work Start TimeStamp]])*24</f>
        <v>3.9833333333333325</v>
      </c>
      <c r="T957" s="391">
        <f>(Table6[[#This Row],[Fault Clearance time]]-Table6[[#This Row],[Fault Start TimeStamp]])*24</f>
        <v>3.9833333333333325</v>
      </c>
      <c r="U957" s="364" t="s">
        <v>1348</v>
      </c>
      <c r="V957" s="364" t="s">
        <v>473</v>
      </c>
      <c r="W957" s="356">
        <f>Table6[[#This Row],[Breakdown Time]]*(1/39)</f>
        <v>0.10213675213675211</v>
      </c>
      <c r="X957" s="353" t="s">
        <v>465</v>
      </c>
      <c r="Y957" s="39" t="s">
        <v>143</v>
      </c>
      <c r="Z957" s="15">
        <v>4510</v>
      </c>
      <c r="AA957" s="123">
        <f>IFERROR((Table6[[#This Row],[Paired WTG Generation for loss calculation]]/24)*Table6[[#This Row],[Breakdown Time]],"")</f>
        <v>748.53472222222206</v>
      </c>
      <c r="AB957" s="123" t="s">
        <v>1349</v>
      </c>
      <c r="AC957" s="121"/>
      <c r="AD957" s="121"/>
    </row>
  </sheetData>
  <phoneticPr fontId="9" type="noConversion"/>
  <conditionalFormatting sqref="L1:L1048576">
    <cfRule type="containsText" dxfId="3" priority="1" operator="containsText" text="Incorrect Error Code">
      <formula>NOT(ISERROR(SEARCH("Incorrect Error Code",L1)))</formula>
    </cfRule>
  </conditionalFormatting>
  <conditionalFormatting sqref="M467:M468">
    <cfRule type="containsText" dxfId="2" priority="2" operator="containsText" text="Incorrect Error Code">
      <formula>NOT(ISERROR(SEARCH("Incorrect Error Code",M467)))</formula>
    </cfRule>
  </conditionalFormatting>
  <conditionalFormatting sqref="O182:Q253">
    <cfRule type="timePeriod" dxfId="1" priority="3" timePeriod="lastMonth">
      <formula>AND(MONTH(O182)=MONTH(EDATE(TODAY(),0-1)),YEAR(O182)=YEAR(EDATE(TODAY(),0-1)))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BAB9243-FC31-426D-82C5-03EB20C1C0AF}">
          <x14:formula1>
            <xm:f>'Basic Data'!$P$1:$P$4</xm:f>
          </x14:formula1>
          <xm:sqref>N2:N957</xm:sqref>
        </x14:dataValidation>
        <x14:dataValidation type="list" allowBlank="1" showInputMessage="1" showErrorMessage="1" xr:uid="{9F985FD0-A7AB-4577-A56E-E34E947D4F80}">
          <x14:formula1>
            <xm:f>'Basic Data'!$W$2:$W$14</xm:f>
          </x14:formula1>
          <xm:sqref>X2:X957</xm:sqref>
        </x14:dataValidation>
        <x14:dataValidation type="list" allowBlank="1" showInputMessage="1" showErrorMessage="1" xr:uid="{D22AF323-FA4D-4C75-9EB1-6B8466E4ED8A}">
          <x14:formula1>
            <xm:f>'Basic Data'!$T$1:$T$396</xm:f>
          </x14:formula1>
          <xm:sqref>K883 K888:K891 K897:K899 K957:K969 K919</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5"/>
  <sheetViews>
    <sheetView workbookViewId="0">
      <pane xSplit="6" ySplit="1" topLeftCell="L46" activePane="bottomRight" state="frozen"/>
      <selection pane="topRight" activeCell="G1" sqref="G1"/>
      <selection pane="bottomLeft" activeCell="A2" sqref="A2"/>
      <selection pane="bottomRight" activeCell="M59" sqref="M59"/>
    </sheetView>
  </sheetViews>
  <sheetFormatPr defaultRowHeight="15"/>
  <cols>
    <col min="2" max="2" width="11.28515625" customWidth="1"/>
    <col min="3" max="3" width="12.42578125" customWidth="1"/>
    <col min="4" max="4" width="13" customWidth="1"/>
    <col min="6" max="6" width="19.85546875"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40" t="s">
        <v>7</v>
      </c>
      <c r="B1" s="340" t="s">
        <v>3</v>
      </c>
      <c r="C1" s="340" t="s">
        <v>74</v>
      </c>
      <c r="D1" s="340" t="s">
        <v>440</v>
      </c>
      <c r="E1" s="340" t="s">
        <v>385</v>
      </c>
      <c r="F1" s="342" t="s">
        <v>73</v>
      </c>
      <c r="G1" s="340" t="s">
        <v>615</v>
      </c>
      <c r="H1" s="340" t="s">
        <v>442</v>
      </c>
      <c r="I1" s="340" t="s">
        <v>718</v>
      </c>
      <c r="J1" s="340" t="s">
        <v>444</v>
      </c>
      <c r="K1" s="340" t="s">
        <v>447</v>
      </c>
      <c r="L1" s="340" t="s">
        <v>448</v>
      </c>
      <c r="M1" s="340" t="s">
        <v>449</v>
      </c>
      <c r="N1" s="340" t="s">
        <v>450</v>
      </c>
      <c r="O1" s="340" t="s">
        <v>451</v>
      </c>
      <c r="P1" s="340" t="s">
        <v>452</v>
      </c>
      <c r="Q1" s="340" t="s">
        <v>453</v>
      </c>
      <c r="R1" s="340" t="s">
        <v>454</v>
      </c>
      <c r="S1" s="340" t="s">
        <v>455</v>
      </c>
      <c r="T1" s="340" t="s">
        <v>456</v>
      </c>
      <c r="U1" s="340" t="s">
        <v>458</v>
      </c>
      <c r="V1" s="344" t="s">
        <v>1273</v>
      </c>
      <c r="W1" s="39" t="s">
        <v>616</v>
      </c>
      <c r="X1" s="340" t="s">
        <v>459</v>
      </c>
      <c r="Y1" s="340" t="s">
        <v>460</v>
      </c>
    </row>
    <row r="2" spans="1:25">
      <c r="A2" s="121">
        <v>1</v>
      </c>
      <c r="B2">
        <f>YEAR(Table8[[#This Row],[Date]])+IF(MONTH(Table8[[#This Row],[Date]])&gt;=4,1,0)</f>
        <v>2025</v>
      </c>
      <c r="C2" s="121">
        <f>YEAR(Table6[[#This Row],[Date]])</f>
        <v>2025</v>
      </c>
      <c r="D2" s="121" t="s">
        <v>461</v>
      </c>
      <c r="E2" s="135">
        <f>Table8[[#This Row],[Date]]-DAY(Table8[[#This Row],[Date]])+1</f>
        <v>45717</v>
      </c>
      <c r="F2" s="134">
        <v>45747</v>
      </c>
      <c r="G2" t="s">
        <v>620</v>
      </c>
      <c r="H2" t="s">
        <v>484</v>
      </c>
      <c r="I2" t="s">
        <v>485</v>
      </c>
      <c r="J2" s="345">
        <f>IFERROR(_xlfn.XLOOKUP(Table8[[#This Row],[Affected Feeder ]],'Basic Data'!$A:$A,'Basic Data'!$E:$E),"")</f>
        <v>0.25641025641025639</v>
      </c>
      <c r="K2" t="s">
        <v>632</v>
      </c>
      <c r="L2" s="346">
        <v>0.80555555555555558</v>
      </c>
      <c r="M2" s="346">
        <v>0.80555555555555558</v>
      </c>
      <c r="N2" s="346">
        <v>0.81736111111111109</v>
      </c>
      <c r="O2" s="111">
        <f>(Table8[[#This Row],[Work Start TimeStamp]]-Table8[[#This Row],[Fault Start TimeStamp]])*24</f>
        <v>0</v>
      </c>
      <c r="P2" s="111">
        <f>IF(Table8[[#This Row],[Work Start TimeStamp]]="","",(Table8[[#This Row],[Fault Clearance time]]-Table8[[#This Row],[Work Start TimeStamp]])*24)</f>
        <v>0.28333333333333233</v>
      </c>
      <c r="Q2" s="111">
        <f>(Table8[[#This Row],[Fault Clearance time]]-Table8[[#This Row],[Fault Start TimeStamp]])*24</f>
        <v>0.28333333333333233</v>
      </c>
      <c r="R2" t="s">
        <v>623</v>
      </c>
      <c r="S2" t="s">
        <v>463</v>
      </c>
      <c r="T2" s="146">
        <f>IFERROR(Table8[[#This Row],[Breakdown Time]]*Table8[[#This Row],[Plant Equivalent Weightage]],"")</f>
        <v>7.2649572649572391E-2</v>
      </c>
      <c r="U2" t="s">
        <v>470</v>
      </c>
      <c r="V2" s="123">
        <v>580</v>
      </c>
      <c r="W2" t="s">
        <v>621</v>
      </c>
    </row>
    <row r="3" spans="1:25">
      <c r="A3" s="121">
        <f>A2+1</f>
        <v>2</v>
      </c>
      <c r="B3">
        <f>YEAR(Table8[[#This Row],[Date]])+IF(MONTH(Table8[[#This Row],[Date]])&gt;=4,1,0)</f>
        <v>2026</v>
      </c>
      <c r="C3" s="121">
        <f>YEAR(Table6[[#This Row],[Date]])</f>
        <v>2025</v>
      </c>
      <c r="D3" s="121" t="s">
        <v>461</v>
      </c>
      <c r="E3" s="135">
        <f>Table8[[#This Row],[Date]]-DAY(Table8[[#This Row],[Date]])+1</f>
        <v>45748</v>
      </c>
      <c r="F3" s="134">
        <v>45748</v>
      </c>
      <c r="G3" t="s">
        <v>618</v>
      </c>
      <c r="H3" t="s">
        <v>484</v>
      </c>
      <c r="I3" t="s">
        <v>485</v>
      </c>
      <c r="J3" s="345">
        <f>IFERROR(_xlfn.XLOOKUP(Table8[[#This Row],[Affected Feeder ]],'Basic Data'!$A:$A,'Basic Data'!$E:$E),"")</f>
        <v>0.23076923076923078</v>
      </c>
      <c r="K3" t="s">
        <v>635</v>
      </c>
      <c r="L3" s="346">
        <v>0.94097222222222221</v>
      </c>
      <c r="M3" s="346">
        <v>0.94097222222222221</v>
      </c>
      <c r="N3" s="346">
        <v>0.99930555555555556</v>
      </c>
      <c r="O3" s="111">
        <f>(Table8[[#This Row],[Work Start TimeStamp]]-Table8[[#This Row],[Fault Start TimeStamp]])*24</f>
        <v>0</v>
      </c>
      <c r="P3" s="111">
        <f>IF(Table8[[#This Row],[Work Start TimeStamp]]="","",(Table8[[#This Row],[Fault Clearance time]]-Table8[[#This Row],[Work Start TimeStamp]])*24)</f>
        <v>1.4000000000000004</v>
      </c>
      <c r="Q3" s="111">
        <f>(Table8[[#This Row],[Fault Clearance time]]-Table8[[#This Row],[Fault Start TimeStamp]])*24</f>
        <v>1.4000000000000004</v>
      </c>
      <c r="R3" t="s">
        <v>623</v>
      </c>
      <c r="S3" t="s">
        <v>473</v>
      </c>
      <c r="T3" s="146">
        <f>IFERROR(Table8[[#This Row],[Breakdown Time]]*Table8[[#This Row],[Plant Equivalent Weightage]],"")</f>
        <v>0.32307692307692315</v>
      </c>
      <c r="U3" t="s">
        <v>470</v>
      </c>
      <c r="V3" s="123">
        <v>2898.0000000000005</v>
      </c>
      <c r="W3" t="s">
        <v>621</v>
      </c>
    </row>
    <row r="4" spans="1:25">
      <c r="A4" s="121">
        <f t="shared" ref="A4:A55" si="0">A3+1</f>
        <v>3</v>
      </c>
      <c r="B4">
        <f>YEAR(Table8[[#This Row],[Date]])+IF(MONTH(Table8[[#This Row],[Date]])&gt;=4,1,0)</f>
        <v>2026</v>
      </c>
      <c r="C4" s="121">
        <f>YEAR(Table6[[#This Row],[Date]])</f>
        <v>2025</v>
      </c>
      <c r="D4" s="121" t="s">
        <v>461</v>
      </c>
      <c r="E4" s="135">
        <f>Table8[[#This Row],[Date]]-DAY(Table8[[#This Row],[Date]])+1</f>
        <v>45748</v>
      </c>
      <c r="F4" s="134">
        <v>45748</v>
      </c>
      <c r="G4" t="s">
        <v>617</v>
      </c>
      <c r="H4" t="s">
        <v>484</v>
      </c>
      <c r="I4" t="s">
        <v>485</v>
      </c>
      <c r="J4" s="345">
        <f>IFERROR(_xlfn.XLOOKUP(Table8[[#This Row],[Affected Feeder ]],'Basic Data'!$A:$A,'Basic Data'!$E:$E),"")</f>
        <v>0.25641025641025639</v>
      </c>
      <c r="K4" t="s">
        <v>636</v>
      </c>
      <c r="L4" s="346">
        <v>0.94305555555555554</v>
      </c>
      <c r="M4" s="346">
        <v>0.94305555555555554</v>
      </c>
      <c r="N4" s="346">
        <v>0.9604166666666667</v>
      </c>
      <c r="O4" s="111">
        <f>(Table8[[#This Row],[Work Start TimeStamp]]-Table8[[#This Row],[Fault Start TimeStamp]])*24</f>
        <v>0</v>
      </c>
      <c r="P4" s="111">
        <f>IF(Table8[[#This Row],[Work Start TimeStamp]]="","",(Table8[[#This Row],[Fault Clearance time]]-Table8[[#This Row],[Work Start TimeStamp]])*24)</f>
        <v>0.41666666666666785</v>
      </c>
      <c r="Q4" s="111">
        <f>(Table8[[#This Row],[Fault Clearance time]]-Table8[[#This Row],[Fault Start TimeStamp]])*24</f>
        <v>0.41666666666666785</v>
      </c>
      <c r="R4" t="s">
        <v>623</v>
      </c>
      <c r="S4" t="s">
        <v>463</v>
      </c>
      <c r="T4" s="146">
        <f>IFERROR(Table8[[#This Row],[Breakdown Time]]*Table8[[#This Row],[Plant Equivalent Weightage]],"")</f>
        <v>0.10683760683760714</v>
      </c>
      <c r="U4" t="s">
        <v>470</v>
      </c>
      <c r="V4" s="123">
        <v>708.33333333333542</v>
      </c>
      <c r="W4" t="s">
        <v>621</v>
      </c>
    </row>
    <row r="5" spans="1:25">
      <c r="A5" s="121">
        <f t="shared" si="0"/>
        <v>4</v>
      </c>
      <c r="B5">
        <f>YEAR(Table8[[#This Row],[Date]])+IF(MONTH(Table8[[#This Row],[Date]])&gt;=4,1,0)</f>
        <v>2026</v>
      </c>
      <c r="C5" s="121">
        <f>YEAR(Table6[[#This Row],[Date]])</f>
        <v>2025</v>
      </c>
      <c r="D5" s="121" t="s">
        <v>461</v>
      </c>
      <c r="E5" s="135">
        <f>Table8[[#This Row],[Date]]-DAY(Table8[[#This Row],[Date]])+1</f>
        <v>45748</v>
      </c>
      <c r="F5" s="134">
        <v>45749</v>
      </c>
      <c r="G5" t="s">
        <v>618</v>
      </c>
      <c r="H5" t="s">
        <v>484</v>
      </c>
      <c r="I5" t="s">
        <v>485</v>
      </c>
      <c r="J5" s="345">
        <f>IFERROR(_xlfn.XLOOKUP(Table8[[#This Row],[Affected Feeder ]],'Basic Data'!$A:$A,'Basic Data'!$E:$E),"")</f>
        <v>0.23076923076923078</v>
      </c>
      <c r="K5" t="s">
        <v>635</v>
      </c>
      <c r="L5" s="346">
        <v>0</v>
      </c>
      <c r="M5" s="346">
        <v>0</v>
      </c>
      <c r="N5" s="346">
        <v>5.6250000000000001E-2</v>
      </c>
      <c r="O5" s="111">
        <f>(Table8[[#This Row],[Work Start TimeStamp]]-Table8[[#This Row],[Fault Start TimeStamp]])*24</f>
        <v>0</v>
      </c>
      <c r="P5" s="111">
        <f>IF(Table8[[#This Row],[Work Start TimeStamp]]="","",(Table8[[#This Row],[Fault Clearance time]]-Table8[[#This Row],[Work Start TimeStamp]])*24)</f>
        <v>1.35</v>
      </c>
      <c r="Q5" s="111">
        <f>(Table8[[#This Row],[Fault Clearance time]]-Table8[[#This Row],[Fault Start TimeStamp]])*24</f>
        <v>1.35</v>
      </c>
      <c r="R5" t="s">
        <v>637</v>
      </c>
      <c r="S5" t="s">
        <v>463</v>
      </c>
      <c r="T5" s="146">
        <f>IFERROR(Table8[[#This Row],[Breakdown Time]]*Table8[[#This Row],[Plant Equivalent Weightage]],"")</f>
        <v>0.3115384615384616</v>
      </c>
      <c r="U5" t="s">
        <v>470</v>
      </c>
      <c r="V5" s="123">
        <v>6986.25</v>
      </c>
      <c r="W5" t="s">
        <v>621</v>
      </c>
    </row>
    <row r="6" spans="1:25">
      <c r="A6" s="121">
        <f t="shared" si="0"/>
        <v>5</v>
      </c>
      <c r="B6">
        <f>YEAR(Table8[[#This Row],[Date]])+IF(MONTH(Table8[[#This Row],[Date]])&gt;=4,1,0)</f>
        <v>2026</v>
      </c>
      <c r="C6" s="121">
        <f>YEAR(Table6[[#This Row],[Date]])</f>
        <v>2025</v>
      </c>
      <c r="D6" s="121" t="s">
        <v>461</v>
      </c>
      <c r="E6" s="135">
        <f>Table8[[#This Row],[Date]]-DAY(Table8[[#This Row],[Date]])+1</f>
        <v>45748</v>
      </c>
      <c r="F6" s="134">
        <v>45750</v>
      </c>
      <c r="G6" t="s">
        <v>620</v>
      </c>
      <c r="H6" t="s">
        <v>484</v>
      </c>
      <c r="I6" t="s">
        <v>485</v>
      </c>
      <c r="J6" s="345">
        <f>IFERROR(_xlfn.XLOOKUP(Table8[[#This Row],[Affected Feeder ]],'Basic Data'!$A:$A,'Basic Data'!$E:$E),"")</f>
        <v>0.25641025641025639</v>
      </c>
      <c r="K6" t="s">
        <v>632</v>
      </c>
      <c r="L6" s="346">
        <v>0.89166666666666672</v>
      </c>
      <c r="M6" s="346">
        <v>0.89166666666666672</v>
      </c>
      <c r="N6" s="346">
        <v>0.90625</v>
      </c>
      <c r="O6" s="111">
        <f>(Table8[[#This Row],[Work Start TimeStamp]]-Table8[[#This Row],[Fault Start TimeStamp]])*24</f>
        <v>0</v>
      </c>
      <c r="P6" s="111">
        <f>IF(Table8[[#This Row],[Work Start TimeStamp]]="","",(Table8[[#This Row],[Fault Clearance time]]-Table8[[#This Row],[Work Start TimeStamp]])*24)</f>
        <v>0.34999999999999876</v>
      </c>
      <c r="Q6" s="111">
        <f>(Table8[[#This Row],[Fault Clearance time]]-Table8[[#This Row],[Fault Start TimeStamp]])*24</f>
        <v>0.34999999999999876</v>
      </c>
      <c r="R6" t="s">
        <v>623</v>
      </c>
      <c r="S6" t="s">
        <v>463</v>
      </c>
      <c r="T6" s="146">
        <f>IFERROR(Table8[[#This Row],[Breakdown Time]]*Table8[[#This Row],[Plant Equivalent Weightage]],"")</f>
        <v>8.9743589743589411E-2</v>
      </c>
      <c r="U6" t="s">
        <v>470</v>
      </c>
      <c r="V6" s="123">
        <v>857.49999999999704</v>
      </c>
      <c r="W6" t="s">
        <v>621</v>
      </c>
    </row>
    <row r="7" spans="1:25">
      <c r="A7" s="121">
        <f t="shared" si="0"/>
        <v>6</v>
      </c>
      <c r="B7">
        <f>YEAR(Table8[[#This Row],[Date]])+IF(MONTH(Table8[[#This Row],[Date]])&gt;=4,1,0)</f>
        <v>2026</v>
      </c>
      <c r="C7" s="121">
        <f>YEAR(Table6[[#This Row],[Date]])</f>
        <v>2025</v>
      </c>
      <c r="D7" s="121" t="s">
        <v>461</v>
      </c>
      <c r="E7" s="135">
        <f>Table8[[#This Row],[Date]]-DAY(Table8[[#This Row],[Date]])+1</f>
        <v>45748</v>
      </c>
      <c r="F7" s="134">
        <v>45754</v>
      </c>
      <c r="G7" t="s">
        <v>618</v>
      </c>
      <c r="H7" t="s">
        <v>484</v>
      </c>
      <c r="I7" t="s">
        <v>485</v>
      </c>
      <c r="J7" s="345">
        <f>IFERROR(_xlfn.XLOOKUP(Table8[[#This Row],[Affected Feeder ]],'Basic Data'!$A:$A,'Basic Data'!$E:$E),"")</f>
        <v>0.23076923076923078</v>
      </c>
      <c r="K7" t="s">
        <v>638</v>
      </c>
      <c r="L7" s="346">
        <v>0.52569444444444446</v>
      </c>
      <c r="M7" s="346">
        <v>0.52569444444444446</v>
      </c>
      <c r="N7" s="346">
        <v>0.60972222222222228</v>
      </c>
      <c r="O7" s="111">
        <f>(Table8[[#This Row],[Work Start TimeStamp]]-Table8[[#This Row],[Fault Start TimeStamp]])*24</f>
        <v>0</v>
      </c>
      <c r="P7" s="111">
        <f>IF(Table8[[#This Row],[Work Start TimeStamp]]="","",(Table8[[#This Row],[Fault Clearance time]]-Table8[[#This Row],[Work Start TimeStamp]])*24)</f>
        <v>2.0166666666666675</v>
      </c>
      <c r="Q7" s="111">
        <f>(Table8[[#This Row],[Fault Clearance time]]-Table8[[#This Row],[Fault Start TimeStamp]])*24</f>
        <v>2.0166666666666675</v>
      </c>
      <c r="R7" t="s">
        <v>639</v>
      </c>
      <c r="S7" t="s">
        <v>463</v>
      </c>
      <c r="T7" s="146">
        <f>IFERROR(Table8[[#This Row],[Breakdown Time]]*Table8[[#This Row],[Plant Equivalent Weightage]],"")</f>
        <v>0.46538461538461562</v>
      </c>
      <c r="U7" t="s">
        <v>469</v>
      </c>
      <c r="V7" s="123">
        <v>4083.7500000000014</v>
      </c>
      <c r="W7" t="s">
        <v>621</v>
      </c>
    </row>
    <row r="8" spans="1:25">
      <c r="A8" s="121">
        <f t="shared" si="0"/>
        <v>7</v>
      </c>
      <c r="B8">
        <f>YEAR(Table8[[#This Row],[Date]])+IF(MONTH(Table8[[#This Row],[Date]])&gt;=4,1,0)</f>
        <v>2026</v>
      </c>
      <c r="C8" s="121">
        <f>YEAR(Table6[[#This Row],[Date]])</f>
        <v>2025</v>
      </c>
      <c r="D8" s="121" t="s">
        <v>461</v>
      </c>
      <c r="E8" s="135">
        <f>Table8[[#This Row],[Date]]-DAY(Table8[[#This Row],[Date]])+1</f>
        <v>45748</v>
      </c>
      <c r="F8" s="134">
        <v>45754</v>
      </c>
      <c r="G8" t="s">
        <v>619</v>
      </c>
      <c r="H8" t="s">
        <v>484</v>
      </c>
      <c r="I8" t="s">
        <v>485</v>
      </c>
      <c r="J8" s="345">
        <f>IFERROR(_xlfn.XLOOKUP(Table8[[#This Row],[Affected Feeder ]],'Basic Data'!$A:$A,'Basic Data'!$E:$E),"")</f>
        <v>0.25641025641025639</v>
      </c>
      <c r="K8" t="s">
        <v>640</v>
      </c>
      <c r="L8" s="346">
        <v>0.52569444444444446</v>
      </c>
      <c r="M8" s="346">
        <v>0.52569444444444446</v>
      </c>
      <c r="N8" s="346">
        <v>0.61041666666666672</v>
      </c>
      <c r="O8" s="111">
        <f>(Table8[[#This Row],[Work Start TimeStamp]]-Table8[[#This Row],[Fault Start TimeStamp]])*24</f>
        <v>0</v>
      </c>
      <c r="P8" s="111">
        <f>IF(Table8[[#This Row],[Work Start TimeStamp]]="","",(Table8[[#This Row],[Fault Clearance time]]-Table8[[#This Row],[Work Start TimeStamp]])*24)</f>
        <v>2.0333333333333341</v>
      </c>
      <c r="Q8" s="111">
        <f>(Table8[[#This Row],[Fault Clearance time]]-Table8[[#This Row],[Fault Start TimeStamp]])*24</f>
        <v>2.0333333333333341</v>
      </c>
      <c r="R8" t="s">
        <v>639</v>
      </c>
      <c r="S8" t="s">
        <v>463</v>
      </c>
      <c r="T8" s="146">
        <f>IFERROR(Table8[[#This Row],[Breakdown Time]]*Table8[[#This Row],[Plant Equivalent Weightage]],"")</f>
        <v>0.52136752136752151</v>
      </c>
      <c r="U8" t="s">
        <v>469</v>
      </c>
      <c r="V8" s="123">
        <v>4631.4814814814836</v>
      </c>
      <c r="W8" t="s">
        <v>621</v>
      </c>
    </row>
    <row r="9" spans="1:25">
      <c r="A9" s="121">
        <f t="shared" si="0"/>
        <v>8</v>
      </c>
      <c r="B9">
        <f>YEAR(Table8[[#This Row],[Date]])+IF(MONTH(Table8[[#This Row],[Date]])&gt;=4,1,0)</f>
        <v>2026</v>
      </c>
      <c r="C9" s="121">
        <f>YEAR(Table6[[#This Row],[Date]])</f>
        <v>2025</v>
      </c>
      <c r="D9" s="121" t="s">
        <v>461</v>
      </c>
      <c r="E9" s="135">
        <f>Table8[[#This Row],[Date]]-DAY(Table8[[#This Row],[Date]])+1</f>
        <v>45778</v>
      </c>
      <c r="F9" s="134">
        <v>45778</v>
      </c>
      <c r="G9" t="s">
        <v>618</v>
      </c>
      <c r="H9" t="s">
        <v>484</v>
      </c>
      <c r="I9" t="s">
        <v>485</v>
      </c>
      <c r="J9" s="345">
        <f>IFERROR(_xlfn.XLOOKUP(Table8[[#This Row],[Affected Feeder ]],'Basic Data'!$A:$A,'Basic Data'!$E:$E),"")</f>
        <v>0.23076923076923078</v>
      </c>
      <c r="K9" t="s">
        <v>641</v>
      </c>
      <c r="L9" s="346">
        <v>0.71180555555555558</v>
      </c>
      <c r="M9" s="346">
        <v>0.71180555555555558</v>
      </c>
      <c r="N9" s="346">
        <v>0.75</v>
      </c>
      <c r="O9" s="111">
        <f>(Table8[[#This Row],[Work Start TimeStamp]]-Table8[[#This Row],[Fault Start TimeStamp]])*24</f>
        <v>0</v>
      </c>
      <c r="P9" s="111">
        <f>IF(Table8[[#This Row],[Work Start TimeStamp]]="","",(Table8[[#This Row],[Fault Clearance time]]-Table8[[#This Row],[Work Start TimeStamp]])*24)</f>
        <v>0.91666666666666607</v>
      </c>
      <c r="Q9" s="111">
        <f>(Table8[[#This Row],[Fault Clearance time]]-Table8[[#This Row],[Fault Start TimeStamp]])*24</f>
        <v>0.91666666666666607</v>
      </c>
      <c r="R9" t="s">
        <v>642</v>
      </c>
      <c r="S9" t="s">
        <v>463</v>
      </c>
      <c r="T9" s="146">
        <f>IFERROR(Table8[[#This Row],[Breakdown Time]]*Table8[[#This Row],[Plant Equivalent Weightage]],"")</f>
        <v>0.21153846153846143</v>
      </c>
      <c r="U9" t="s">
        <v>469</v>
      </c>
      <c r="V9" s="123">
        <v>5651.2499999999964</v>
      </c>
      <c r="W9" t="s">
        <v>621</v>
      </c>
    </row>
    <row r="10" spans="1:25">
      <c r="A10" s="121">
        <f t="shared" si="0"/>
        <v>9</v>
      </c>
      <c r="B10">
        <f>YEAR(Table8[[#This Row],[Date]])+IF(MONTH(Table8[[#This Row],[Date]])&gt;=4,1,0)</f>
        <v>2026</v>
      </c>
      <c r="C10" s="121">
        <f>YEAR(Table6[[#This Row],[Date]])</f>
        <v>2025</v>
      </c>
      <c r="D10" s="121" t="s">
        <v>461</v>
      </c>
      <c r="E10" s="135">
        <f>Table8[[#This Row],[Date]]-DAY(Table8[[#This Row],[Date]])+1</f>
        <v>45778</v>
      </c>
      <c r="F10" s="134">
        <v>45778</v>
      </c>
      <c r="G10" t="s">
        <v>619</v>
      </c>
      <c r="H10" t="s">
        <v>484</v>
      </c>
      <c r="I10" t="s">
        <v>485</v>
      </c>
      <c r="J10" s="345">
        <f>IFERROR(_xlfn.XLOOKUP(Table8[[#This Row],[Affected Feeder ]],'Basic Data'!$A:$A,'Basic Data'!$E:$E),"")</f>
        <v>0.25641025641025639</v>
      </c>
      <c r="K10" t="s">
        <v>643</v>
      </c>
      <c r="L10" s="346">
        <v>0.71180555555555558</v>
      </c>
      <c r="M10" s="346">
        <v>0.71180555555555558</v>
      </c>
      <c r="N10" s="346">
        <v>0.75</v>
      </c>
      <c r="O10" s="111">
        <f>(Table8[[#This Row],[Work Start TimeStamp]]-Table8[[#This Row],[Fault Start TimeStamp]])*24</f>
        <v>0</v>
      </c>
      <c r="P10" s="111">
        <f>IF(Table8[[#This Row],[Work Start TimeStamp]]="","",(Table8[[#This Row],[Fault Clearance time]]-Table8[[#This Row],[Work Start TimeStamp]])*24)</f>
        <v>0.91666666666666607</v>
      </c>
      <c r="Q10" s="111">
        <f>(Table8[[#This Row],[Fault Clearance time]]-Table8[[#This Row],[Fault Start TimeStamp]])*24</f>
        <v>0.91666666666666607</v>
      </c>
      <c r="R10" t="s">
        <v>642</v>
      </c>
      <c r="S10" t="s">
        <v>463</v>
      </c>
      <c r="T10" s="146">
        <f>IFERROR(Table8[[#This Row],[Breakdown Time]]*Table8[[#This Row],[Plant Equivalent Weightage]],"")</f>
        <v>0.23504273504273487</v>
      </c>
      <c r="U10" t="s">
        <v>469</v>
      </c>
      <c r="V10" s="123">
        <v>6416.6666666666624</v>
      </c>
      <c r="W10" t="s">
        <v>621</v>
      </c>
    </row>
    <row r="11" spans="1:25">
      <c r="A11" s="121">
        <f t="shared" si="0"/>
        <v>10</v>
      </c>
      <c r="B11">
        <f>YEAR(Table8[[#This Row],[Date]])+IF(MONTH(Table8[[#This Row],[Date]])&gt;=4,1,0)</f>
        <v>2026</v>
      </c>
      <c r="C11" s="121">
        <f>YEAR(Table6[[#This Row],[Date]])</f>
        <v>2025</v>
      </c>
      <c r="D11" s="121" t="s">
        <v>461</v>
      </c>
      <c r="E11" s="135">
        <f>Table8[[#This Row],[Date]]-DAY(Table8[[#This Row],[Date]])+1</f>
        <v>45778</v>
      </c>
      <c r="F11" s="134">
        <v>45783</v>
      </c>
      <c r="G11" t="s">
        <v>620</v>
      </c>
      <c r="H11" t="s">
        <v>484</v>
      </c>
      <c r="I11" t="s">
        <v>485</v>
      </c>
      <c r="J11" s="345">
        <f>IFERROR(_xlfn.XLOOKUP(Table8[[#This Row],[Affected Feeder ]],'Basic Data'!$A:$A,'Basic Data'!$E:$E),"")</f>
        <v>0.25641025641025639</v>
      </c>
      <c r="K11" t="s">
        <v>632</v>
      </c>
      <c r="L11" s="346">
        <v>0.68472222222222223</v>
      </c>
      <c r="M11" s="346">
        <v>0.68472222222222223</v>
      </c>
      <c r="N11" s="346">
        <v>0.68888888888888888</v>
      </c>
      <c r="O11" s="111">
        <f>(Table8[[#This Row],[Work Start TimeStamp]]-Table8[[#This Row],[Fault Start TimeStamp]])*24</f>
        <v>0</v>
      </c>
      <c r="P11" s="111">
        <f>IF(Table8[[#This Row],[Work Start TimeStamp]]="","",(Table8[[#This Row],[Fault Clearance time]]-Table8[[#This Row],[Work Start TimeStamp]])*24)</f>
        <v>9.9999999999999645E-2</v>
      </c>
      <c r="Q11" s="111">
        <f>(Table8[[#This Row],[Fault Clearance time]]-Table8[[#This Row],[Fault Start TimeStamp]])*24</f>
        <v>9.9999999999999645E-2</v>
      </c>
      <c r="R11" t="s">
        <v>623</v>
      </c>
      <c r="S11" t="s">
        <v>463</v>
      </c>
      <c r="T11" s="146">
        <f>IFERROR(Table8[[#This Row],[Breakdown Time]]*Table8[[#This Row],[Plant Equivalent Weightage]],"")</f>
        <v>2.5641025641025546E-2</v>
      </c>
      <c r="U11" t="s">
        <v>470</v>
      </c>
      <c r="V11" s="123">
        <v>265</v>
      </c>
      <c r="W11" t="s">
        <v>621</v>
      </c>
    </row>
    <row r="12" spans="1:25">
      <c r="A12" s="121">
        <f t="shared" si="0"/>
        <v>11</v>
      </c>
      <c r="B12">
        <f>YEAR(Table8[[#This Row],[Date]])+IF(MONTH(Table8[[#This Row],[Date]])&gt;=4,1,0)</f>
        <v>2026</v>
      </c>
      <c r="C12" s="121">
        <f>YEAR(Table6[[#This Row],[Date]])</f>
        <v>2025</v>
      </c>
      <c r="D12" s="121" t="s">
        <v>461</v>
      </c>
      <c r="E12" s="135">
        <f>Table8[[#This Row],[Date]]-DAY(Table8[[#This Row],[Date]])+1</f>
        <v>45778</v>
      </c>
      <c r="F12" s="134">
        <v>45789</v>
      </c>
      <c r="G12" t="s">
        <v>618</v>
      </c>
      <c r="H12" t="s">
        <v>484</v>
      </c>
      <c r="I12" t="s">
        <v>485</v>
      </c>
      <c r="J12" s="345">
        <f>IFERROR(_xlfn.XLOOKUP(Table8[[#This Row],[Affected Feeder ]],'Basic Data'!$A:$A,'Basic Data'!$E:$E),"")</f>
        <v>0.23076923076923078</v>
      </c>
      <c r="K12" t="s">
        <v>633</v>
      </c>
      <c r="L12" s="346">
        <v>0.62638888888888888</v>
      </c>
      <c r="M12" s="346">
        <v>0.62638888888888888</v>
      </c>
      <c r="N12" s="346">
        <v>0.6333333333333333</v>
      </c>
      <c r="O12" s="111">
        <f>(Table8[[#This Row],[Work Start TimeStamp]]-Table8[[#This Row],[Fault Start TimeStamp]])*24</f>
        <v>0</v>
      </c>
      <c r="P12" s="111">
        <f>IF(Table8[[#This Row],[Work Start TimeStamp]]="","",(Table8[[#This Row],[Fault Clearance time]]-Table8[[#This Row],[Work Start TimeStamp]])*24)</f>
        <v>0.16666666666666607</v>
      </c>
      <c r="Q12" s="111">
        <f>(Table8[[#This Row],[Fault Clearance time]]-Table8[[#This Row],[Fault Start TimeStamp]])*24</f>
        <v>0.16666666666666607</v>
      </c>
      <c r="R12" t="s">
        <v>623</v>
      </c>
      <c r="S12" t="s">
        <v>463</v>
      </c>
      <c r="T12" s="146">
        <f>IFERROR(Table8[[#This Row],[Breakdown Time]]*Table8[[#This Row],[Plant Equivalent Weightage]],"")</f>
        <v>3.8461538461538325E-2</v>
      </c>
      <c r="U12" t="s">
        <v>470</v>
      </c>
      <c r="V12" s="123">
        <v>214</v>
      </c>
      <c r="W12" t="s">
        <v>621</v>
      </c>
    </row>
    <row r="13" spans="1:25">
      <c r="A13" s="121">
        <f t="shared" si="0"/>
        <v>12</v>
      </c>
      <c r="B13">
        <f>YEAR(Table8[[#This Row],[Date]])+IF(MONTH(Table8[[#This Row],[Date]])&gt;=4,1,0)</f>
        <v>2026</v>
      </c>
      <c r="C13" s="121">
        <f>YEAR(Table6[[#This Row],[Date]])</f>
        <v>2025</v>
      </c>
      <c r="D13" s="121" t="s">
        <v>461</v>
      </c>
      <c r="E13" s="135">
        <f>Table8[[#This Row],[Date]]-DAY(Table8[[#This Row],[Date]])+1</f>
        <v>45778</v>
      </c>
      <c r="F13" s="134">
        <v>45789</v>
      </c>
      <c r="G13" t="s">
        <v>617</v>
      </c>
      <c r="H13" t="s">
        <v>484</v>
      </c>
      <c r="I13" t="s">
        <v>485</v>
      </c>
      <c r="J13" s="345">
        <f>IFERROR(_xlfn.XLOOKUP(Table8[[#This Row],[Affected Feeder ]],'Basic Data'!$A:$A,'Basic Data'!$E:$E),"")</f>
        <v>0.25641025641025639</v>
      </c>
      <c r="K13" t="s">
        <v>634</v>
      </c>
      <c r="L13" s="346">
        <v>0.63958333333333328</v>
      </c>
      <c r="M13" s="346">
        <v>0.63958333333333328</v>
      </c>
      <c r="N13" s="346">
        <v>0.64444444444444449</v>
      </c>
      <c r="O13" s="111">
        <f>(Table8[[#This Row],[Work Start TimeStamp]]-Table8[[#This Row],[Fault Start TimeStamp]])*24</f>
        <v>0</v>
      </c>
      <c r="P13" s="111">
        <f>IF(Table8[[#This Row],[Work Start TimeStamp]]="","",(Table8[[#This Row],[Fault Clearance time]]-Table8[[#This Row],[Work Start TimeStamp]])*24)</f>
        <v>0.11666666666666892</v>
      </c>
      <c r="Q13" s="111">
        <f>(Table8[[#This Row],[Fault Clearance time]]-Table8[[#This Row],[Fault Start TimeStamp]])*24</f>
        <v>0.11666666666666892</v>
      </c>
      <c r="R13" t="s">
        <v>623</v>
      </c>
      <c r="S13" t="s">
        <v>463</v>
      </c>
      <c r="T13" s="146">
        <f>IFERROR(Table8[[#This Row],[Breakdown Time]]*Table8[[#This Row],[Plant Equivalent Weightage]],"")</f>
        <v>2.9914529914530488E-2</v>
      </c>
      <c r="U13" t="s">
        <v>470</v>
      </c>
      <c r="V13" s="123">
        <v>126</v>
      </c>
      <c r="W13" t="s">
        <v>621</v>
      </c>
    </row>
    <row r="14" spans="1:25">
      <c r="A14" s="121">
        <f t="shared" si="0"/>
        <v>13</v>
      </c>
      <c r="B14">
        <f>YEAR(Table8[[#This Row],[Date]])+IF(MONTH(Table8[[#This Row],[Date]])&gt;=4,1,0)</f>
        <v>2026</v>
      </c>
      <c r="C14" s="121">
        <f>YEAR(Table6[[#This Row],[Date]])</f>
        <v>2025</v>
      </c>
      <c r="D14" s="121" t="s">
        <v>461</v>
      </c>
      <c r="E14" s="135">
        <f>Table8[[#This Row],[Date]]-DAY(Table8[[#This Row],[Date]])+1</f>
        <v>45778</v>
      </c>
      <c r="F14" s="134">
        <v>45793</v>
      </c>
      <c r="G14" t="s">
        <v>624</v>
      </c>
      <c r="H14" t="s">
        <v>484</v>
      </c>
      <c r="I14" t="s">
        <v>485</v>
      </c>
      <c r="J14" s="345">
        <f>IFERROR(_xlfn.XLOOKUP(Table8[[#This Row],[Affected Feeder ]],'Basic Data'!$A:$A,'Basic Data'!$E:$E),"")</f>
        <v>0.12820512820512819</v>
      </c>
      <c r="K14" t="s">
        <v>644</v>
      </c>
      <c r="L14" s="346">
        <v>0.58333333333333337</v>
      </c>
      <c r="M14" s="346">
        <v>0.58333333333333337</v>
      </c>
      <c r="N14" s="346">
        <v>0.63888888888888884</v>
      </c>
      <c r="O14" s="111">
        <f>(Table8[[#This Row],[Work Start TimeStamp]]-Table8[[#This Row],[Fault Start TimeStamp]])*24</f>
        <v>0</v>
      </c>
      <c r="P14" s="111">
        <f>IF(Table8[[#This Row],[Work Start TimeStamp]]="","",(Table8[[#This Row],[Fault Clearance time]]-Table8[[#This Row],[Work Start TimeStamp]])*24)</f>
        <v>1.3333333333333313</v>
      </c>
      <c r="Q14" s="111">
        <f>(Table8[[#This Row],[Fault Clearance time]]-Table8[[#This Row],[Fault Start TimeStamp]])*24</f>
        <v>1.3333333333333313</v>
      </c>
      <c r="R14" t="s">
        <v>645</v>
      </c>
      <c r="S14" t="s">
        <v>463</v>
      </c>
      <c r="T14" s="146">
        <f>IFERROR(Table8[[#This Row],[Breakdown Time]]*Table8[[#This Row],[Plant Equivalent Weightage]],"")</f>
        <v>0.17094017094017067</v>
      </c>
      <c r="U14" t="s">
        <v>471</v>
      </c>
      <c r="V14" s="123">
        <v>2777.7777777777737</v>
      </c>
      <c r="W14" t="s">
        <v>621</v>
      </c>
    </row>
    <row r="15" spans="1:25">
      <c r="A15" s="121">
        <f t="shared" si="0"/>
        <v>14</v>
      </c>
      <c r="B15">
        <f>YEAR(Table8[[#This Row],[Date]])+IF(MONTH(Table8[[#This Row],[Date]])&gt;=4,1,0)</f>
        <v>2026</v>
      </c>
      <c r="C15" s="121">
        <f>YEAR(Table6[[#This Row],[Date]])</f>
        <v>2025</v>
      </c>
      <c r="D15" s="121" t="s">
        <v>461</v>
      </c>
      <c r="E15" s="135">
        <f>Table8[[#This Row],[Date]]-DAY(Table8[[#This Row],[Date]])+1</f>
        <v>45778</v>
      </c>
      <c r="F15" s="134">
        <v>45794</v>
      </c>
      <c r="G15" t="s">
        <v>618</v>
      </c>
      <c r="H15" t="s">
        <v>484</v>
      </c>
      <c r="I15" t="s">
        <v>485</v>
      </c>
      <c r="J15" s="345">
        <f>IFERROR(_xlfn.XLOOKUP(Table8[[#This Row],[Affected Feeder ]],'Basic Data'!$A:$A,'Basic Data'!$E:$E),"")</f>
        <v>0.23076923076923078</v>
      </c>
      <c r="K15" t="s">
        <v>646</v>
      </c>
      <c r="L15" s="346">
        <v>0.54166666666666663</v>
      </c>
      <c r="M15" s="346">
        <v>0.54166666666666663</v>
      </c>
      <c r="N15" s="346">
        <v>0.6166666666666667</v>
      </c>
      <c r="O15" s="111">
        <f>(Table8[[#This Row],[Work Start TimeStamp]]-Table8[[#This Row],[Fault Start TimeStamp]])*24</f>
        <v>0</v>
      </c>
      <c r="P15" s="111">
        <f>IF(Table8[[#This Row],[Work Start TimeStamp]]="","",(Table8[[#This Row],[Fault Clearance time]]-Table8[[#This Row],[Work Start TimeStamp]])*24)</f>
        <v>1.8000000000000016</v>
      </c>
      <c r="Q15" s="111">
        <f>(Table8[[#This Row],[Fault Clearance time]]-Table8[[#This Row],[Fault Start TimeStamp]])*24</f>
        <v>1.8000000000000016</v>
      </c>
      <c r="R15" t="s">
        <v>647</v>
      </c>
      <c r="S15" t="s">
        <v>463</v>
      </c>
      <c r="T15" s="146">
        <f>IFERROR(Table8[[#This Row],[Breakdown Time]]*Table8[[#This Row],[Plant Equivalent Weightage]],"")</f>
        <v>0.4153846153846158</v>
      </c>
      <c r="U15" t="s">
        <v>471</v>
      </c>
      <c r="V15" s="123">
        <v>3969</v>
      </c>
      <c r="W15" t="s">
        <v>621</v>
      </c>
    </row>
    <row r="16" spans="1:25">
      <c r="A16" s="121">
        <f t="shared" si="0"/>
        <v>15</v>
      </c>
      <c r="B16">
        <f>YEAR(Table8[[#This Row],[Date]])+IF(MONTH(Table8[[#This Row],[Date]])&gt;=4,1,0)</f>
        <v>2026</v>
      </c>
      <c r="C16" s="121">
        <f>YEAR(Table6[[#This Row],[Date]])</f>
        <v>2025</v>
      </c>
      <c r="D16" s="121" t="s">
        <v>461</v>
      </c>
      <c r="E16" s="135">
        <f>Table8[[#This Row],[Date]]-DAY(Table8[[#This Row],[Date]])+1</f>
        <v>45778</v>
      </c>
      <c r="F16" s="134">
        <v>45796</v>
      </c>
      <c r="G16" t="s">
        <v>617</v>
      </c>
      <c r="H16" t="s">
        <v>484</v>
      </c>
      <c r="I16" t="s">
        <v>485</v>
      </c>
      <c r="J16" s="345">
        <f>IFERROR(_xlfn.XLOOKUP(Table8[[#This Row],[Affected Feeder ]],'Basic Data'!$A:$A,'Basic Data'!$E:$E),"")</f>
        <v>0.25641025641025639</v>
      </c>
      <c r="K16" t="s">
        <v>634</v>
      </c>
      <c r="L16" s="346">
        <v>0.86388888888888893</v>
      </c>
      <c r="M16" s="346">
        <v>0.86388888888888893</v>
      </c>
      <c r="N16" s="346">
        <v>0.875</v>
      </c>
      <c r="O16" s="111">
        <f>(Table8[[#This Row],[Work Start TimeStamp]]-Table8[[#This Row],[Fault Start TimeStamp]])*24</f>
        <v>0</v>
      </c>
      <c r="P16" s="111">
        <f>IF(Table8[[#This Row],[Work Start TimeStamp]]="","",(Table8[[#This Row],[Fault Clearance time]]-Table8[[#This Row],[Work Start TimeStamp]])*24)</f>
        <v>0.26666666666666572</v>
      </c>
      <c r="Q16" s="111">
        <f>(Table8[[#This Row],[Fault Clearance time]]-Table8[[#This Row],[Fault Start TimeStamp]])*24</f>
        <v>0.26666666666666572</v>
      </c>
      <c r="R16" t="s">
        <v>623</v>
      </c>
      <c r="S16" t="s">
        <v>463</v>
      </c>
      <c r="T16" s="146">
        <f>IFERROR(Table8[[#This Row],[Breakdown Time]]*Table8[[#This Row],[Plant Equivalent Weightage]],"")</f>
        <v>6.8376068376068133E-2</v>
      </c>
      <c r="U16" t="s">
        <v>470</v>
      </c>
      <c r="V16" s="123">
        <v>333.33333333333212</v>
      </c>
      <c r="W16" t="s">
        <v>621</v>
      </c>
    </row>
    <row r="17" spans="1:23">
      <c r="A17" s="121">
        <f t="shared" si="0"/>
        <v>16</v>
      </c>
      <c r="B17">
        <f>YEAR(Table8[[#This Row],[Date]])+IF(MONTH(Table8[[#This Row],[Date]])&gt;=4,1,0)</f>
        <v>2026</v>
      </c>
      <c r="C17" s="121">
        <f>YEAR(Table6[[#This Row],[Date]])</f>
        <v>2025</v>
      </c>
      <c r="D17" s="121" t="s">
        <v>461</v>
      </c>
      <c r="E17" s="135">
        <f>Table8[[#This Row],[Date]]-DAY(Table8[[#This Row],[Date]])+1</f>
        <v>45778</v>
      </c>
      <c r="F17" s="134">
        <v>45796</v>
      </c>
      <c r="G17" t="s">
        <v>622</v>
      </c>
      <c r="H17" t="s">
        <v>484</v>
      </c>
      <c r="I17" t="s">
        <v>485</v>
      </c>
      <c r="J17" s="345">
        <f>IFERROR(_xlfn.XLOOKUP(Table8[[#This Row],[Affected Feeder ]],'Basic Data'!$A:$A,'Basic Data'!$E:$E),"")</f>
        <v>0.12820512820512819</v>
      </c>
      <c r="K17" t="s">
        <v>997</v>
      </c>
      <c r="L17" s="346">
        <v>0.8833333333333333</v>
      </c>
      <c r="M17" s="346">
        <v>0.8833333333333333</v>
      </c>
      <c r="N17" s="346">
        <v>0.92152777777777772</v>
      </c>
      <c r="O17" s="111">
        <f>(Table8[[#This Row],[Work Start TimeStamp]]-Table8[[#This Row],[Fault Start TimeStamp]])*24</f>
        <v>0</v>
      </c>
      <c r="P17" s="111">
        <f>IF(Table8[[#This Row],[Work Start TimeStamp]]="","",(Table8[[#This Row],[Fault Clearance time]]-Table8[[#This Row],[Work Start TimeStamp]])*24)</f>
        <v>0.91666666666666607</v>
      </c>
      <c r="Q17" s="111">
        <f>(Table8[[#This Row],[Fault Clearance time]]-Table8[[#This Row],[Fault Start TimeStamp]])*24</f>
        <v>0.91666666666666607</v>
      </c>
      <c r="R17" t="s">
        <v>998</v>
      </c>
      <c r="S17" t="s">
        <v>463</v>
      </c>
      <c r="T17" s="146">
        <f>IFERROR(Table8[[#This Row],[Breakdown Time]]*Table8[[#This Row],[Plant Equivalent Weightage]],"")</f>
        <v>0.11752136752136744</v>
      </c>
      <c r="U17" t="s">
        <v>470</v>
      </c>
      <c r="V17" s="123">
        <v>1283.3333333333326</v>
      </c>
      <c r="W17" t="s">
        <v>621</v>
      </c>
    </row>
    <row r="18" spans="1:23">
      <c r="A18" s="121">
        <f t="shared" si="0"/>
        <v>17</v>
      </c>
      <c r="B18">
        <f>YEAR(Table8[[#This Row],[Date]])+IF(MONTH(Table8[[#This Row],[Date]])&gt;=4,1,0)</f>
        <v>2026</v>
      </c>
      <c r="C18" s="121">
        <f>YEAR(Table6[[#This Row],[Date]])</f>
        <v>2025</v>
      </c>
      <c r="D18" s="121" t="s">
        <v>461</v>
      </c>
      <c r="E18" s="135">
        <f>Table8[[#This Row],[Date]]-DAY(Table8[[#This Row],[Date]])+1</f>
        <v>45778</v>
      </c>
      <c r="F18" s="134">
        <v>45796</v>
      </c>
      <c r="G18" t="s">
        <v>624</v>
      </c>
      <c r="H18" t="s">
        <v>484</v>
      </c>
      <c r="I18" t="s">
        <v>485</v>
      </c>
      <c r="J18" s="345">
        <f>IFERROR(_xlfn.XLOOKUP(Table8[[#This Row],[Affected Feeder ]],'Basic Data'!$A:$A,'Basic Data'!$E:$E),"")</f>
        <v>0.12820512820512819</v>
      </c>
      <c r="K18" t="s">
        <v>997</v>
      </c>
      <c r="L18" s="346">
        <v>0.8833333333333333</v>
      </c>
      <c r="M18" s="346">
        <v>0.8833333333333333</v>
      </c>
      <c r="N18" s="346">
        <v>0.99930555555555556</v>
      </c>
      <c r="O18" s="111">
        <f>(Table8[[#This Row],[Work Start TimeStamp]]-Table8[[#This Row],[Fault Start TimeStamp]])*24</f>
        <v>0</v>
      </c>
      <c r="P18" s="111">
        <f>IF(Table8[[#This Row],[Work Start TimeStamp]]="","",(Table8[[#This Row],[Fault Clearance time]]-Table8[[#This Row],[Work Start TimeStamp]])*24)</f>
        <v>2.7833333333333341</v>
      </c>
      <c r="Q18" s="111">
        <f>(Table8[[#This Row],[Fault Clearance time]]-Table8[[#This Row],[Fault Start TimeStamp]])*24</f>
        <v>2.7833333333333341</v>
      </c>
      <c r="R18" t="s">
        <v>500</v>
      </c>
      <c r="S18" t="s">
        <v>473</v>
      </c>
      <c r="T18" s="146">
        <f>IFERROR(Table8[[#This Row],[Breakdown Time]]*Table8[[#This Row],[Plant Equivalent Weightage]],"")</f>
        <v>0.3568376068376069</v>
      </c>
      <c r="U18" t="s">
        <v>470</v>
      </c>
      <c r="V18" s="123">
        <v>4035.8333333333344</v>
      </c>
      <c r="W18" t="s">
        <v>621</v>
      </c>
    </row>
    <row r="19" spans="1:23">
      <c r="A19" s="121">
        <f t="shared" si="0"/>
        <v>18</v>
      </c>
      <c r="B19">
        <f>YEAR(Table8[[#This Row],[Date]])+IF(MONTH(Table8[[#This Row],[Date]])&gt;=4,1,0)</f>
        <v>2026</v>
      </c>
      <c r="C19" s="121">
        <f>YEAR(Table6[[#This Row],[Date]])</f>
        <v>2025</v>
      </c>
      <c r="D19" s="121" t="s">
        <v>461</v>
      </c>
      <c r="E19" s="135">
        <f>Table8[[#This Row],[Date]]-DAY(Table8[[#This Row],[Date]])+1</f>
        <v>45778</v>
      </c>
      <c r="F19" s="134">
        <v>45796</v>
      </c>
      <c r="G19" t="s">
        <v>624</v>
      </c>
      <c r="H19" t="s">
        <v>484</v>
      </c>
      <c r="I19" t="s">
        <v>485</v>
      </c>
      <c r="J19" s="345">
        <f>IFERROR(_xlfn.XLOOKUP(Table8[[#This Row],[Affected Feeder ]],'Basic Data'!$A:$A,'Basic Data'!$E:$E),"")</f>
        <v>0.12820512820512819</v>
      </c>
      <c r="K19" t="s">
        <v>997</v>
      </c>
      <c r="L19" s="346">
        <v>0</v>
      </c>
      <c r="M19" s="346">
        <v>0</v>
      </c>
      <c r="N19" s="346">
        <v>3.0555555555555555E-2</v>
      </c>
      <c r="O19" s="111">
        <f>(Table8[[#This Row],[Work Start TimeStamp]]-Table8[[#This Row],[Fault Start TimeStamp]])*24</f>
        <v>0</v>
      </c>
      <c r="P19" s="111">
        <f>IF(Table8[[#This Row],[Work Start TimeStamp]]="","",(Table8[[#This Row],[Fault Clearance time]]-Table8[[#This Row],[Work Start TimeStamp]])*24)</f>
        <v>0.73333333333333328</v>
      </c>
      <c r="Q19" s="111">
        <f>(Table8[[#This Row],[Fault Clearance time]]-Table8[[#This Row],[Fault Start TimeStamp]])*24</f>
        <v>0.73333333333333328</v>
      </c>
      <c r="R19" t="s">
        <v>1002</v>
      </c>
      <c r="S19" t="s">
        <v>463</v>
      </c>
      <c r="T19" s="146">
        <f>IFERROR(Table8[[#This Row],[Breakdown Time]]*Table8[[#This Row],[Plant Equivalent Weightage]],"")</f>
        <v>9.4017094017094002E-2</v>
      </c>
      <c r="U19" t="s">
        <v>470</v>
      </c>
      <c r="V19" s="123">
        <v>1063.3333333333333</v>
      </c>
      <c r="W19" t="s">
        <v>621</v>
      </c>
    </row>
    <row r="20" spans="1:23">
      <c r="A20" s="121">
        <f t="shared" si="0"/>
        <v>19</v>
      </c>
      <c r="B20">
        <f>YEAR(Table8[[#This Row],[Date]])+IF(MONTH(Table8[[#This Row],[Date]])&gt;=4,1,0)</f>
        <v>2026</v>
      </c>
      <c r="C20" s="121">
        <f>YEAR(Table6[[#This Row],[Date]])</f>
        <v>2025</v>
      </c>
      <c r="D20" s="121" t="s">
        <v>461</v>
      </c>
      <c r="E20" s="135">
        <f>Table8[[#This Row],[Date]]-DAY(Table8[[#This Row],[Date]])+1</f>
        <v>45778</v>
      </c>
      <c r="F20" s="134">
        <v>45797</v>
      </c>
      <c r="G20" t="s">
        <v>622</v>
      </c>
      <c r="H20" t="s">
        <v>484</v>
      </c>
      <c r="I20" t="s">
        <v>485</v>
      </c>
      <c r="J20" s="345">
        <f>IFERROR(_xlfn.XLOOKUP(Table8[[#This Row],[Affected Feeder ]],'Basic Data'!$A:$A,'Basic Data'!$E:$E),"")</f>
        <v>0.12820512820512819</v>
      </c>
      <c r="K20" t="s">
        <v>1000</v>
      </c>
      <c r="L20" s="346">
        <v>0.44097222222222221</v>
      </c>
      <c r="M20" s="346">
        <v>0.44097222222222221</v>
      </c>
      <c r="N20" s="346">
        <v>0.4909722222222222</v>
      </c>
      <c r="O20" s="111">
        <f>(Table8[[#This Row],[Work Start TimeStamp]]-Table8[[#This Row],[Fault Start TimeStamp]])*24</f>
        <v>0</v>
      </c>
      <c r="P20" s="111">
        <f>IF(Table8[[#This Row],[Work Start TimeStamp]]="","",(Table8[[#This Row],[Fault Clearance time]]-Table8[[#This Row],[Work Start TimeStamp]])*24)</f>
        <v>1.1999999999999997</v>
      </c>
      <c r="Q20" s="111">
        <f>(Table8[[#This Row],[Fault Clearance time]]-Table8[[#This Row],[Fault Start TimeStamp]])*24</f>
        <v>1.1999999999999997</v>
      </c>
      <c r="R20" t="s">
        <v>647</v>
      </c>
      <c r="S20" t="s">
        <v>463</v>
      </c>
      <c r="T20" s="146">
        <f>IFERROR(Table8[[#This Row],[Breakdown Time]]*Table8[[#This Row],[Plant Equivalent Weightage]],"")</f>
        <v>0.1538461538461538</v>
      </c>
      <c r="U20" t="s">
        <v>471</v>
      </c>
      <c r="V20" s="123">
        <v>2579.9999999999995</v>
      </c>
      <c r="W20" t="s">
        <v>621</v>
      </c>
    </row>
    <row r="21" spans="1:23">
      <c r="A21" s="121">
        <f t="shared" si="0"/>
        <v>20</v>
      </c>
      <c r="B21">
        <f>YEAR(Table8[[#This Row],[Date]])+IF(MONTH(Table8[[#This Row],[Date]])&gt;=4,1,0)</f>
        <v>2026</v>
      </c>
      <c r="C21" s="121">
        <f>YEAR(Table6[[#This Row],[Date]])</f>
        <v>2025</v>
      </c>
      <c r="D21" s="121" t="s">
        <v>461</v>
      </c>
      <c r="E21" s="135">
        <f>Table8[[#This Row],[Date]]-DAY(Table8[[#This Row],[Date]])+1</f>
        <v>45778</v>
      </c>
      <c r="F21" s="134">
        <v>45797</v>
      </c>
      <c r="G21" t="s">
        <v>617</v>
      </c>
      <c r="H21" t="s">
        <v>484</v>
      </c>
      <c r="I21" t="s">
        <v>485</v>
      </c>
      <c r="J21" s="345">
        <f>IFERROR(_xlfn.XLOOKUP(Table8[[#This Row],[Affected Feeder ]],'Basic Data'!$A:$A,'Basic Data'!$E:$E),"")</f>
        <v>0.25641025641025639</v>
      </c>
      <c r="K21" t="s">
        <v>1001</v>
      </c>
      <c r="L21" s="346">
        <v>0.52083333333333337</v>
      </c>
      <c r="M21" s="346">
        <v>0.52083333333333337</v>
      </c>
      <c r="N21" s="346">
        <v>0.58333333333333337</v>
      </c>
      <c r="O21" s="111">
        <f>(Table8[[#This Row],[Work Start TimeStamp]]-Table8[[#This Row],[Fault Start TimeStamp]])*24</f>
        <v>0</v>
      </c>
      <c r="P21" s="111">
        <f>IF(Table8[[#This Row],[Work Start TimeStamp]]="","",(Table8[[#This Row],[Fault Clearance time]]-Table8[[#This Row],[Work Start TimeStamp]])*24)</f>
        <v>1.5</v>
      </c>
      <c r="Q21" s="111">
        <f>(Table8[[#This Row],[Fault Clearance time]]-Table8[[#This Row],[Fault Start TimeStamp]])*24</f>
        <v>1.5</v>
      </c>
      <c r="R21" t="s">
        <v>647</v>
      </c>
      <c r="S21" t="s">
        <v>463</v>
      </c>
      <c r="T21" s="146">
        <f>IFERROR(Table8[[#This Row],[Breakdown Time]]*Table8[[#This Row],[Plant Equivalent Weightage]],"")</f>
        <v>0.38461538461538458</v>
      </c>
      <c r="U21" t="s">
        <v>471</v>
      </c>
      <c r="V21" s="123">
        <v>2550</v>
      </c>
      <c r="W21" t="s">
        <v>621</v>
      </c>
    </row>
    <row r="22" spans="1:23">
      <c r="A22" s="121">
        <f t="shared" si="0"/>
        <v>21</v>
      </c>
      <c r="B22">
        <f>YEAR(Table8[[#This Row],[Date]])+IF(MONTH(Table8[[#This Row],[Date]])&gt;=4,1,0)</f>
        <v>2026</v>
      </c>
      <c r="C22" s="121">
        <f>YEAR(Table6[[#This Row],[Date]])</f>
        <v>2025</v>
      </c>
      <c r="D22" s="121" t="s">
        <v>461</v>
      </c>
      <c r="E22" s="135">
        <f>Table8[[#This Row],[Date]]-DAY(Table8[[#This Row],[Date]])+1</f>
        <v>45778</v>
      </c>
      <c r="F22" s="134">
        <v>45797</v>
      </c>
      <c r="G22" t="s">
        <v>617</v>
      </c>
      <c r="H22" t="s">
        <v>484</v>
      </c>
      <c r="I22" t="s">
        <v>485</v>
      </c>
      <c r="J22" s="345">
        <f>IFERROR(_xlfn.XLOOKUP(Table8[[#This Row],[Affected Feeder ]],'Basic Data'!$A:$A,'Basic Data'!$E:$E),"")</f>
        <v>0.25641025641025639</v>
      </c>
      <c r="K22" t="s">
        <v>634</v>
      </c>
      <c r="L22" s="346">
        <v>0.76180555555555551</v>
      </c>
      <c r="M22" s="346">
        <v>0.76180555555555551</v>
      </c>
      <c r="N22" s="346">
        <v>0.78333333333333333</v>
      </c>
      <c r="O22" s="111">
        <f>(Table8[[#This Row],[Work Start TimeStamp]]-Table8[[#This Row],[Fault Start TimeStamp]])*24</f>
        <v>0</v>
      </c>
      <c r="P22" s="111">
        <f>IF(Table8[[#This Row],[Work Start TimeStamp]]="","",(Table8[[#This Row],[Fault Clearance time]]-Table8[[#This Row],[Work Start TimeStamp]])*24)</f>
        <v>0.5166666666666675</v>
      </c>
      <c r="Q22" s="111">
        <f>(Table8[[#This Row],[Fault Clearance time]]-Table8[[#This Row],[Fault Start TimeStamp]])*24</f>
        <v>0.5166666666666675</v>
      </c>
      <c r="R22" t="s">
        <v>623</v>
      </c>
      <c r="S22" t="s">
        <v>463</v>
      </c>
      <c r="T22" s="146">
        <f>IFERROR(Table8[[#This Row],[Breakdown Time]]*Table8[[#This Row],[Plant Equivalent Weightage]],"")</f>
        <v>0.13247863247863267</v>
      </c>
      <c r="U22" t="s">
        <v>470</v>
      </c>
      <c r="V22" s="123">
        <v>878.33333333333474</v>
      </c>
      <c r="W22" t="s">
        <v>621</v>
      </c>
    </row>
    <row r="23" spans="1:23">
      <c r="A23" s="121">
        <f t="shared" si="0"/>
        <v>22</v>
      </c>
      <c r="B23">
        <f>YEAR(Table8[[#This Row],[Date]])+IF(MONTH(Table8[[#This Row],[Date]])&gt;=4,1,0)</f>
        <v>2026</v>
      </c>
      <c r="C23" s="121">
        <f>YEAR(Table6[[#This Row],[Date]])</f>
        <v>2025</v>
      </c>
      <c r="D23" s="121" t="s">
        <v>461</v>
      </c>
      <c r="E23" s="135">
        <f>Table8[[#This Row],[Date]]-DAY(Table8[[#This Row],[Date]])+1</f>
        <v>45778</v>
      </c>
      <c r="F23" s="134">
        <v>45798</v>
      </c>
      <c r="G23" t="s">
        <v>630</v>
      </c>
      <c r="H23" t="s">
        <v>484</v>
      </c>
      <c r="I23" t="s">
        <v>485</v>
      </c>
      <c r="J23" s="345">
        <f>IFERROR(_xlfn.XLOOKUP(Table8[[#This Row],[Affected Feeder ]],'Basic Data'!$A:$A,'Basic Data'!$E:$E),"")</f>
        <v>0.15384615384615385</v>
      </c>
      <c r="K23" t="s">
        <v>1011</v>
      </c>
      <c r="L23" s="346">
        <v>0.47222222222222221</v>
      </c>
      <c r="M23" s="346">
        <v>0.47222222222222221</v>
      </c>
      <c r="N23" s="346">
        <v>0.52777777777777779</v>
      </c>
      <c r="O23" s="111">
        <f>(Table8[[#This Row],[Work Start TimeStamp]]-Table8[[#This Row],[Fault Start TimeStamp]])*24</f>
        <v>0</v>
      </c>
      <c r="P23" s="111">
        <f>IF(Table8[[#This Row],[Work Start TimeStamp]]="","",(Table8[[#This Row],[Fault Clearance time]]-Table8[[#This Row],[Work Start TimeStamp]])*24)</f>
        <v>1.3333333333333339</v>
      </c>
      <c r="Q23" s="111">
        <f>(Table8[[#This Row],[Fault Clearance time]]-Table8[[#This Row],[Fault Start TimeStamp]])*24</f>
        <v>1.3333333333333339</v>
      </c>
      <c r="R23" t="s">
        <v>647</v>
      </c>
      <c r="S23" t="s">
        <v>463</v>
      </c>
      <c r="T23" s="146">
        <f>IFERROR(Table8[[#This Row],[Breakdown Time]]*Table8[[#This Row],[Plant Equivalent Weightage]],"")</f>
        <v>0.20512820512820523</v>
      </c>
      <c r="U23" t="s">
        <v>470</v>
      </c>
      <c r="V23" s="123">
        <v>2400.0000000000009</v>
      </c>
      <c r="W23" t="s">
        <v>621</v>
      </c>
    </row>
    <row r="24" spans="1:23">
      <c r="A24" s="121">
        <f t="shared" si="0"/>
        <v>23</v>
      </c>
      <c r="B24">
        <f>YEAR(Table8[[#This Row],[Date]])+IF(MONTH(Table8[[#This Row],[Date]])&gt;=4,1,0)</f>
        <v>2026</v>
      </c>
      <c r="C24" s="121">
        <f>YEAR(Table6[[#This Row],[Date]])</f>
        <v>2025</v>
      </c>
      <c r="D24" s="121" t="s">
        <v>461</v>
      </c>
      <c r="E24" s="135">
        <f>Table8[[#This Row],[Date]]-DAY(Table8[[#This Row],[Date]])+1</f>
        <v>45778</v>
      </c>
      <c r="F24" s="134">
        <v>45800</v>
      </c>
      <c r="G24" t="s">
        <v>617</v>
      </c>
      <c r="H24" t="s">
        <v>484</v>
      </c>
      <c r="I24" t="s">
        <v>485</v>
      </c>
      <c r="J24" s="345">
        <f>IFERROR(_xlfn.XLOOKUP(Table8[[#This Row],[Affected Feeder ]],'Basic Data'!$A:$A,'Basic Data'!$E:$E),"")</f>
        <v>0.25641025641025639</v>
      </c>
      <c r="K24" t="s">
        <v>1168</v>
      </c>
      <c r="L24" s="346">
        <v>0.45277777777777778</v>
      </c>
      <c r="M24" s="346">
        <v>0.45277777777777778</v>
      </c>
      <c r="N24" s="346">
        <v>0.59583333333333333</v>
      </c>
      <c r="O24" s="111">
        <f>(Table8[[#This Row],[Work Start TimeStamp]]-Table8[[#This Row],[Fault Start TimeStamp]])*24</f>
        <v>0</v>
      </c>
      <c r="P24" s="111">
        <f>IF(Table8[[#This Row],[Work Start TimeStamp]]="","",(Table8[[#This Row],[Fault Clearance time]]-Table8[[#This Row],[Work Start TimeStamp]])*24)</f>
        <v>3.4333333333333331</v>
      </c>
      <c r="Q24" s="111">
        <f>(Table8[[#This Row],[Fault Clearance time]]-Table8[[#This Row],[Fault Start TimeStamp]])*24</f>
        <v>3.4333333333333331</v>
      </c>
      <c r="R24" t="s">
        <v>1170</v>
      </c>
      <c r="S24" t="s">
        <v>463</v>
      </c>
      <c r="T24" s="146">
        <f>IFERROR(Table8[[#This Row],[Breakdown Time]]*Table8[[#This Row],[Plant Equivalent Weightage]],"")</f>
        <v>0.88034188034188021</v>
      </c>
      <c r="U24" t="s">
        <v>471</v>
      </c>
      <c r="V24" s="123">
        <v>2231.6666666666665</v>
      </c>
      <c r="W24" t="s">
        <v>621</v>
      </c>
    </row>
    <row r="25" spans="1:23">
      <c r="A25" s="121">
        <f t="shared" si="0"/>
        <v>24</v>
      </c>
      <c r="B25">
        <f>YEAR(Table8[[#This Row],[Date]])+IF(MONTH(Table8[[#This Row],[Date]])&gt;=4,1,0)</f>
        <v>2026</v>
      </c>
      <c r="C25" s="121">
        <f>YEAR(Table6[[#This Row],[Date]])</f>
        <v>2025</v>
      </c>
      <c r="D25" s="121" t="s">
        <v>461</v>
      </c>
      <c r="E25" s="135">
        <f>Table8[[#This Row],[Date]]-DAY(Table8[[#This Row],[Date]])+1</f>
        <v>45778</v>
      </c>
      <c r="F25" s="134">
        <v>45800</v>
      </c>
      <c r="G25" t="s">
        <v>620</v>
      </c>
      <c r="H25" t="s">
        <v>484</v>
      </c>
      <c r="I25" t="s">
        <v>485</v>
      </c>
      <c r="J25" s="345">
        <f>IFERROR(_xlfn.XLOOKUP(Table8[[#This Row],[Affected Feeder ]],'Basic Data'!$A:$A,'Basic Data'!$E:$E),"")</f>
        <v>0.25641025641025639</v>
      </c>
      <c r="K25" t="s">
        <v>1169</v>
      </c>
      <c r="L25" s="346">
        <v>0.45277777777777778</v>
      </c>
      <c r="M25" s="346">
        <v>0.45277777777777778</v>
      </c>
      <c r="N25" s="346">
        <v>0.59583333333333333</v>
      </c>
      <c r="O25" s="111">
        <f>(Table8[[#This Row],[Work Start TimeStamp]]-Table8[[#This Row],[Fault Start TimeStamp]])*24</f>
        <v>0</v>
      </c>
      <c r="P25" s="111">
        <f>IF(Table8[[#This Row],[Work Start TimeStamp]]="","",(Table8[[#This Row],[Fault Clearance time]]-Table8[[#This Row],[Work Start TimeStamp]])*24)</f>
        <v>3.4333333333333331</v>
      </c>
      <c r="Q25" s="111">
        <f>(Table8[[#This Row],[Fault Clearance time]]-Table8[[#This Row],[Fault Start TimeStamp]])*24</f>
        <v>3.4333333333333331</v>
      </c>
      <c r="R25" t="s">
        <v>1170</v>
      </c>
      <c r="S25" t="s">
        <v>463</v>
      </c>
      <c r="T25" s="146">
        <f>IFERROR(Table8[[#This Row],[Breakdown Time]]*Table8[[#This Row],[Plant Equivalent Weightage]],"")</f>
        <v>0.88034188034188021</v>
      </c>
      <c r="U25" t="s">
        <v>471</v>
      </c>
      <c r="V25" s="123">
        <v>2060</v>
      </c>
      <c r="W25" t="s">
        <v>621</v>
      </c>
    </row>
    <row r="26" spans="1:23">
      <c r="A26" s="121">
        <f t="shared" si="0"/>
        <v>25</v>
      </c>
      <c r="B26">
        <f>YEAR(Table8[[#This Row],[Date]])+IF(MONTH(Table8[[#This Row],[Date]])&gt;=4,1,0)</f>
        <v>2026</v>
      </c>
      <c r="C26" s="121">
        <f>YEAR(Table6[[#This Row],[Date]])</f>
        <v>2025</v>
      </c>
      <c r="D26" s="121" t="s">
        <v>461</v>
      </c>
      <c r="E26" s="135">
        <f>Table8[[#This Row],[Date]]-DAY(Table8[[#This Row],[Date]])+1</f>
        <v>45778</v>
      </c>
      <c r="F26" s="134">
        <v>45800</v>
      </c>
      <c r="G26" t="s">
        <v>624</v>
      </c>
      <c r="H26" t="s">
        <v>484</v>
      </c>
      <c r="I26" t="s">
        <v>485</v>
      </c>
      <c r="J26" s="345">
        <f>IFERROR(_xlfn.XLOOKUP(Table8[[#This Row],[Affected Feeder ]],'Basic Data'!$A:$A,'Basic Data'!$E:$E),"")</f>
        <v>0.12820512820512819</v>
      </c>
      <c r="K26" t="s">
        <v>1171</v>
      </c>
      <c r="L26" s="346">
        <v>0.6166666666666667</v>
      </c>
      <c r="M26" s="346">
        <v>0.6166666666666667</v>
      </c>
      <c r="N26" s="346">
        <v>0.66736111111111107</v>
      </c>
      <c r="O26" s="111">
        <f>(Table8[[#This Row],[Work Start TimeStamp]]-Table8[[#This Row],[Fault Start TimeStamp]])*24</f>
        <v>0</v>
      </c>
      <c r="P26" s="111">
        <f>IF(Table8[[#This Row],[Work Start TimeStamp]]="","",(Table8[[#This Row],[Fault Clearance time]]-Table8[[#This Row],[Work Start TimeStamp]])*24)</f>
        <v>1.216666666666665</v>
      </c>
      <c r="Q26" s="111">
        <f>(Table8[[#This Row],[Fault Clearance time]]-Table8[[#This Row],[Fault Start TimeStamp]])*24</f>
        <v>1.216666666666665</v>
      </c>
      <c r="R26" t="s">
        <v>1174</v>
      </c>
      <c r="S26" t="s">
        <v>463</v>
      </c>
      <c r="T26" s="146">
        <f>IFERROR(Table8[[#This Row],[Breakdown Time]]*Table8[[#This Row],[Plant Equivalent Weightage]],"")</f>
        <v>0.15598290598290576</v>
      </c>
      <c r="U26" t="s">
        <v>469</v>
      </c>
      <c r="V26" s="123">
        <v>1216.6666666666649</v>
      </c>
      <c r="W26" t="s">
        <v>625</v>
      </c>
    </row>
    <row r="27" spans="1:23">
      <c r="A27" s="121">
        <f t="shared" si="0"/>
        <v>26</v>
      </c>
      <c r="B27">
        <f>YEAR(Table8[[#This Row],[Date]])+IF(MONTH(Table8[[#This Row],[Date]])&gt;=4,1,0)</f>
        <v>2026</v>
      </c>
      <c r="C27" s="121">
        <f>YEAR(Table6[[#This Row],[Date]])</f>
        <v>2025</v>
      </c>
      <c r="D27" s="121" t="s">
        <v>461</v>
      </c>
      <c r="E27" s="135">
        <f>Table8[[#This Row],[Date]]-DAY(Table8[[#This Row],[Date]])+1</f>
        <v>45778</v>
      </c>
      <c r="F27" s="134">
        <v>45800</v>
      </c>
      <c r="G27" t="s">
        <v>622</v>
      </c>
      <c r="H27" t="s">
        <v>484</v>
      </c>
      <c r="I27" t="s">
        <v>485</v>
      </c>
      <c r="J27" s="345">
        <f>IFERROR(_xlfn.XLOOKUP(Table8[[#This Row],[Affected Feeder ]],'Basic Data'!$A:$A,'Basic Data'!$E:$E),"")</f>
        <v>0.12820512820512819</v>
      </c>
      <c r="K27" t="s">
        <v>1172</v>
      </c>
      <c r="L27" s="346">
        <v>0.65277777777777779</v>
      </c>
      <c r="M27" s="346">
        <v>0.65277777777777779</v>
      </c>
      <c r="N27" s="346">
        <v>0.66736111111111107</v>
      </c>
      <c r="O27" s="111">
        <f>(Table8[[#This Row],[Work Start TimeStamp]]-Table8[[#This Row],[Fault Start TimeStamp]])*24</f>
        <v>0</v>
      </c>
      <c r="P27" s="111">
        <f>IF(Table8[[#This Row],[Work Start TimeStamp]]="","",(Table8[[#This Row],[Fault Clearance time]]-Table8[[#This Row],[Work Start TimeStamp]])*24)</f>
        <v>0.34999999999999876</v>
      </c>
      <c r="Q27" s="111">
        <f>(Table8[[#This Row],[Fault Clearance time]]-Table8[[#This Row],[Fault Start TimeStamp]])*24</f>
        <v>0.34999999999999876</v>
      </c>
      <c r="R27" t="s">
        <v>1173</v>
      </c>
      <c r="S27" t="s">
        <v>463</v>
      </c>
      <c r="T27" s="146">
        <f>IFERROR(Table8[[#This Row],[Breakdown Time]]*Table8[[#This Row],[Plant Equivalent Weightage]],"")</f>
        <v>4.4871794871794705E-2</v>
      </c>
      <c r="U27" t="s">
        <v>469</v>
      </c>
      <c r="V27" s="123">
        <v>349.99999999999875</v>
      </c>
      <c r="W27" t="s">
        <v>621</v>
      </c>
    </row>
    <row r="28" spans="1:23">
      <c r="A28" s="121">
        <f t="shared" si="0"/>
        <v>27</v>
      </c>
      <c r="B28">
        <f>YEAR(Table8[[#This Row],[Date]])+IF(MONTH(Table8[[#This Row],[Date]])&gt;=4,1,0)</f>
        <v>2026</v>
      </c>
      <c r="C28" s="121">
        <f>YEAR(Table6[[#This Row],[Date]])</f>
        <v>2025</v>
      </c>
      <c r="D28" s="121" t="s">
        <v>461</v>
      </c>
      <c r="E28" s="135">
        <f>Table8[[#This Row],[Date]]-DAY(Table8[[#This Row],[Date]])+1</f>
        <v>45778</v>
      </c>
      <c r="F28" s="134">
        <v>45801</v>
      </c>
      <c r="G28" t="s">
        <v>619</v>
      </c>
      <c r="H28" t="s">
        <v>484</v>
      </c>
      <c r="I28" t="s">
        <v>485</v>
      </c>
      <c r="J28" s="345">
        <f>IFERROR(_xlfn.XLOOKUP(Table8[[#This Row],[Affected Feeder ]],'Basic Data'!$A:$A,'Basic Data'!$E:$E),"")</f>
        <v>0.25641025641025639</v>
      </c>
      <c r="K28" t="s">
        <v>1177</v>
      </c>
      <c r="L28" s="346">
        <v>0.6</v>
      </c>
      <c r="M28" s="346">
        <v>0.6</v>
      </c>
      <c r="N28" s="346">
        <v>0.62847222222222221</v>
      </c>
      <c r="O28" s="111">
        <f>(Table8[[#This Row],[Work Start TimeStamp]]-Table8[[#This Row],[Fault Start TimeStamp]])*24</f>
        <v>0</v>
      </c>
      <c r="P28" s="111">
        <f>IF(Table8[[#This Row],[Work Start TimeStamp]]="","",(Table8[[#This Row],[Fault Clearance time]]-Table8[[#This Row],[Work Start TimeStamp]])*24)</f>
        <v>0.68333333333333357</v>
      </c>
      <c r="Q28" s="111">
        <f>(Table8[[#This Row],[Fault Clearance time]]-Table8[[#This Row],[Fault Start TimeStamp]])*24</f>
        <v>0.68333333333333357</v>
      </c>
      <c r="R28" t="s">
        <v>1173</v>
      </c>
      <c r="S28" t="s">
        <v>463</v>
      </c>
      <c r="T28" s="146">
        <f>IFERROR(Table8[[#This Row],[Breakdown Time]]*Table8[[#This Row],[Plant Equivalent Weightage]],"")</f>
        <v>0.17521367521367526</v>
      </c>
      <c r="U28" t="s">
        <v>469</v>
      </c>
      <c r="V28" s="123">
        <v>1777</v>
      </c>
      <c r="W28" t="s">
        <v>621</v>
      </c>
    </row>
    <row r="29" spans="1:23">
      <c r="A29" s="121">
        <f t="shared" si="0"/>
        <v>28</v>
      </c>
      <c r="B29">
        <f>YEAR(Table8[[#This Row],[Date]])+IF(MONTH(Table8[[#This Row],[Date]])&gt;=4,1,0)</f>
        <v>2026</v>
      </c>
      <c r="C29" s="121">
        <f>YEAR(Table6[[#This Row],[Date]])</f>
        <v>2025</v>
      </c>
      <c r="D29" s="121" t="s">
        <v>461</v>
      </c>
      <c r="E29" s="135">
        <f>Table8[[#This Row],[Date]]-DAY(Table8[[#This Row],[Date]])+1</f>
        <v>45778</v>
      </c>
      <c r="F29" s="134">
        <v>45804</v>
      </c>
      <c r="G29" t="s">
        <v>620</v>
      </c>
      <c r="H29" t="s">
        <v>484</v>
      </c>
      <c r="I29" t="s">
        <v>485</v>
      </c>
      <c r="J29" s="345">
        <f>IFERROR(_xlfn.XLOOKUP(Table8[[#This Row],[Affected Feeder ]],'Basic Data'!$A:$A,'Basic Data'!$E:$E),"")</f>
        <v>0.25641025641025639</v>
      </c>
      <c r="K29" t="s">
        <v>632</v>
      </c>
      <c r="L29" s="346">
        <v>0.47916666666666669</v>
      </c>
      <c r="M29" s="346">
        <v>0.47916666666666669</v>
      </c>
      <c r="N29" s="346">
        <v>0.48333333333333334</v>
      </c>
      <c r="O29" s="111">
        <f>(Table8[[#This Row],[Work Start TimeStamp]]-Table8[[#This Row],[Fault Start TimeStamp]])*24</f>
        <v>0</v>
      </c>
      <c r="P29" s="111">
        <f>IF(Table8[[#This Row],[Work Start TimeStamp]]="","",(Table8[[#This Row],[Fault Clearance time]]-Table8[[#This Row],[Work Start TimeStamp]])*24)</f>
        <v>9.9999999999999645E-2</v>
      </c>
      <c r="Q29" s="111">
        <f>(Table8[[#This Row],[Fault Clearance time]]-Table8[[#This Row],[Fault Start TimeStamp]])*24</f>
        <v>9.9999999999999645E-2</v>
      </c>
      <c r="R29" t="s">
        <v>623</v>
      </c>
      <c r="S29" t="s">
        <v>463</v>
      </c>
      <c r="T29" s="146">
        <f>IFERROR(Table8[[#This Row],[Breakdown Time]]*Table8[[#This Row],[Plant Equivalent Weightage]],"")</f>
        <v>2.5641025641025546E-2</v>
      </c>
      <c r="U29" t="s">
        <v>469</v>
      </c>
      <c r="V29" s="123">
        <v>429.99999999999841</v>
      </c>
      <c r="W29" t="s">
        <v>621</v>
      </c>
    </row>
    <row r="30" spans="1:23">
      <c r="A30" s="121">
        <f t="shared" si="0"/>
        <v>29</v>
      </c>
      <c r="B30">
        <f>YEAR(Table8[[#This Row],[Date]])+IF(MONTH(Table8[[#This Row],[Date]])&gt;=4,1,0)</f>
        <v>2026</v>
      </c>
      <c r="C30" s="121">
        <f>YEAR(Table6[[#This Row],[Date]])</f>
        <v>2025</v>
      </c>
      <c r="D30" s="121" t="s">
        <v>461</v>
      </c>
      <c r="E30" s="135">
        <f>Table8[[#This Row],[Date]]-DAY(Table8[[#This Row],[Date]])+1</f>
        <v>45778</v>
      </c>
      <c r="F30" s="134">
        <v>45804</v>
      </c>
      <c r="G30" t="s">
        <v>618</v>
      </c>
      <c r="H30" t="s">
        <v>484</v>
      </c>
      <c r="I30" t="s">
        <v>485</v>
      </c>
      <c r="J30" s="345">
        <f>IFERROR(_xlfn.XLOOKUP(Table8[[#This Row],[Affected Feeder ]],'Basic Data'!$A:$A,'Basic Data'!$E:$E),"")</f>
        <v>0.23076923076923078</v>
      </c>
      <c r="K30" t="s">
        <v>633</v>
      </c>
      <c r="L30" s="346">
        <v>0.65277777777777779</v>
      </c>
      <c r="M30" s="346">
        <v>0.65277777777777779</v>
      </c>
      <c r="N30" s="346">
        <v>0.82638888888888884</v>
      </c>
      <c r="O30" s="111">
        <f>(Table8[[#This Row],[Work Start TimeStamp]]-Table8[[#This Row],[Fault Start TimeStamp]])*24</f>
        <v>0</v>
      </c>
      <c r="P30" s="111">
        <f>IF(Table8[[#This Row],[Work Start TimeStamp]]="","",(Table8[[#This Row],[Fault Clearance time]]-Table8[[#This Row],[Work Start TimeStamp]])*24)</f>
        <v>4.1666666666666652</v>
      </c>
      <c r="Q30" s="111">
        <f>(Table8[[#This Row],[Fault Clearance time]]-Table8[[#This Row],[Fault Start TimeStamp]])*24</f>
        <v>4.1666666666666652</v>
      </c>
      <c r="R30" t="s">
        <v>1182</v>
      </c>
      <c r="S30" t="s">
        <v>463</v>
      </c>
      <c r="T30" s="146">
        <f>IFERROR(Table8[[#This Row],[Breakdown Time]]*Table8[[#This Row],[Plant Equivalent Weightage]],"")</f>
        <v>0.96153846153846123</v>
      </c>
      <c r="U30" t="s">
        <v>469</v>
      </c>
      <c r="V30" s="123">
        <v>22687.499999999993</v>
      </c>
      <c r="W30" t="s">
        <v>621</v>
      </c>
    </row>
    <row r="31" spans="1:23">
      <c r="A31" s="121">
        <f t="shared" si="0"/>
        <v>30</v>
      </c>
      <c r="B31">
        <f>YEAR(Table8[[#This Row],[Date]])+IF(MONTH(Table8[[#This Row],[Date]])&gt;=4,1,0)</f>
        <v>2026</v>
      </c>
      <c r="C31" s="121">
        <f>YEAR(Table6[[#This Row],[Date]])</f>
        <v>2025</v>
      </c>
      <c r="D31" s="121" t="s">
        <v>461</v>
      </c>
      <c r="E31" s="135">
        <f>Table8[[#This Row],[Date]]-DAY(Table8[[#This Row],[Date]])+1</f>
        <v>45778</v>
      </c>
      <c r="F31" s="134">
        <v>45805</v>
      </c>
      <c r="G31" t="s">
        <v>620</v>
      </c>
      <c r="H31" t="s">
        <v>484</v>
      </c>
      <c r="I31" t="s">
        <v>485</v>
      </c>
      <c r="J31" s="345">
        <f>IFERROR(_xlfn.XLOOKUP(Table8[[#This Row],[Affected Feeder ]],'Basic Data'!$A:$A,'Basic Data'!$E:$E),"")</f>
        <v>0.25641025641025639</v>
      </c>
      <c r="K31" t="s">
        <v>632</v>
      </c>
      <c r="L31" s="346">
        <v>0.59791666666666665</v>
      </c>
      <c r="M31" s="346">
        <v>0.59791666666666665</v>
      </c>
      <c r="N31" s="346">
        <v>0.60069444444444442</v>
      </c>
      <c r="O31" s="111">
        <f>(Table8[[#This Row],[Work Start TimeStamp]]-Table8[[#This Row],[Fault Start TimeStamp]])*24</f>
        <v>0</v>
      </c>
      <c r="P31" s="111">
        <f>IF(Table8[[#This Row],[Work Start TimeStamp]]="","",(Table8[[#This Row],[Fault Clearance time]]-Table8[[#This Row],[Work Start TimeStamp]])*24)</f>
        <v>6.666666666666643E-2</v>
      </c>
      <c r="Q31" s="111">
        <f>(Table8[[#This Row],[Fault Clearance time]]-Table8[[#This Row],[Fault Start TimeStamp]])*24</f>
        <v>6.666666666666643E-2</v>
      </c>
      <c r="R31" t="s">
        <v>623</v>
      </c>
      <c r="S31" t="s">
        <v>463</v>
      </c>
      <c r="T31" s="146">
        <f>IFERROR(Table8[[#This Row],[Breakdown Time]]*Table8[[#This Row],[Plant Equivalent Weightage]],"")</f>
        <v>1.7094017094017033E-2</v>
      </c>
      <c r="U31" t="s">
        <v>469</v>
      </c>
      <c r="V31" s="123">
        <v>203</v>
      </c>
      <c r="W31" t="s">
        <v>621</v>
      </c>
    </row>
    <row r="32" spans="1:23">
      <c r="A32" s="121">
        <f t="shared" si="0"/>
        <v>31</v>
      </c>
      <c r="B32">
        <f>YEAR(Table8[[#This Row],[Date]])+IF(MONTH(Table8[[#This Row],[Date]])&gt;=4,1,0)</f>
        <v>2026</v>
      </c>
      <c r="C32" s="121">
        <f>YEAR(Table6[[#This Row],[Date]])</f>
        <v>2025</v>
      </c>
      <c r="D32" s="121" t="s">
        <v>461</v>
      </c>
      <c r="E32" s="135">
        <f>Table8[[#This Row],[Date]]-DAY(Table8[[#This Row],[Date]])+1</f>
        <v>45778</v>
      </c>
      <c r="F32" s="134">
        <v>45806</v>
      </c>
      <c r="G32" t="s">
        <v>620</v>
      </c>
      <c r="H32" t="s">
        <v>484</v>
      </c>
      <c r="I32" t="s">
        <v>485</v>
      </c>
      <c r="J32" s="345">
        <f>IFERROR(_xlfn.XLOOKUP(Table8[[#This Row],[Affected Feeder ]],'Basic Data'!$A:$A,'Basic Data'!$E:$E),"")</f>
        <v>0.25641025641025639</v>
      </c>
      <c r="K32" t="s">
        <v>632</v>
      </c>
      <c r="L32" s="346">
        <v>0.35138888888888886</v>
      </c>
      <c r="M32" s="346">
        <v>0.35138888888888886</v>
      </c>
      <c r="N32" s="346">
        <v>0.35555555555555557</v>
      </c>
      <c r="O32" s="111">
        <f>(Table8[[#This Row],[Work Start TimeStamp]]-Table8[[#This Row],[Fault Start TimeStamp]])*24</f>
        <v>0</v>
      </c>
      <c r="P32" s="111">
        <f>IF(Table8[[#This Row],[Work Start TimeStamp]]="","",(Table8[[#This Row],[Fault Clearance time]]-Table8[[#This Row],[Work Start TimeStamp]])*24)</f>
        <v>0.10000000000000098</v>
      </c>
      <c r="Q32" s="111">
        <f>(Table8[[#This Row],[Fault Clearance time]]-Table8[[#This Row],[Fault Start TimeStamp]])*24</f>
        <v>0.10000000000000098</v>
      </c>
      <c r="R32" t="s">
        <v>623</v>
      </c>
      <c r="S32" t="s">
        <v>463</v>
      </c>
      <c r="T32" s="146">
        <f>IFERROR(Table8[[#This Row],[Breakdown Time]]*Table8[[#This Row],[Plant Equivalent Weightage]],"")</f>
        <v>2.564102564102589E-2</v>
      </c>
      <c r="U32" t="s">
        <v>469</v>
      </c>
      <c r="V32" s="123">
        <v>555.00000000000546</v>
      </c>
      <c r="W32" t="s">
        <v>621</v>
      </c>
    </row>
    <row r="33" spans="1:23">
      <c r="A33" s="121">
        <f t="shared" si="0"/>
        <v>32</v>
      </c>
      <c r="B33">
        <f>YEAR(Table8[[#This Row],[Date]])+IF(MONTH(Table8[[#This Row],[Date]])&gt;=4,1,0)</f>
        <v>2026</v>
      </c>
      <c r="C33" s="121">
        <f>YEAR(Table6[[#This Row],[Date]])</f>
        <v>2025</v>
      </c>
      <c r="D33" s="121" t="s">
        <v>461</v>
      </c>
      <c r="E33" s="135">
        <f>Table8[[#This Row],[Date]]-DAY(Table8[[#This Row],[Date]])+1</f>
        <v>45778</v>
      </c>
      <c r="F33" s="134">
        <v>45806</v>
      </c>
      <c r="G33" t="s">
        <v>620</v>
      </c>
      <c r="H33" t="s">
        <v>484</v>
      </c>
      <c r="I33" t="s">
        <v>485</v>
      </c>
      <c r="J33" s="345">
        <f>IFERROR(_xlfn.XLOOKUP(Table8[[#This Row],[Affected Feeder ]],'Basic Data'!$A:$A,'Basic Data'!$E:$E),"")</f>
        <v>0.25641025641025639</v>
      </c>
      <c r="K33" t="s">
        <v>632</v>
      </c>
      <c r="L33" s="346">
        <v>0.39305555555555555</v>
      </c>
      <c r="M33" s="346">
        <v>0.39305555555555555</v>
      </c>
      <c r="N33" s="346">
        <v>0.39583333333333331</v>
      </c>
      <c r="O33" s="111">
        <f>(Table8[[#This Row],[Work Start TimeStamp]]-Table8[[#This Row],[Fault Start TimeStamp]])*24</f>
        <v>0</v>
      </c>
      <c r="P33" s="111">
        <f>IF(Table8[[#This Row],[Work Start TimeStamp]]="","",(Table8[[#This Row],[Fault Clearance time]]-Table8[[#This Row],[Work Start TimeStamp]])*24)</f>
        <v>6.666666666666643E-2</v>
      </c>
      <c r="Q33" s="111">
        <f>(Table8[[#This Row],[Fault Clearance time]]-Table8[[#This Row],[Fault Start TimeStamp]])*24</f>
        <v>6.666666666666643E-2</v>
      </c>
      <c r="R33" t="s">
        <v>623</v>
      </c>
      <c r="S33" t="s">
        <v>463</v>
      </c>
      <c r="T33" s="146">
        <f>IFERROR(Table8[[#This Row],[Breakdown Time]]*Table8[[#This Row],[Plant Equivalent Weightage]],"")</f>
        <v>1.7094017094017033E-2</v>
      </c>
      <c r="U33" t="s">
        <v>470</v>
      </c>
      <c r="V33" s="123">
        <v>369.99999999999875</v>
      </c>
      <c r="W33" t="s">
        <v>621</v>
      </c>
    </row>
    <row r="34" spans="1:23">
      <c r="A34" s="121">
        <f t="shared" si="0"/>
        <v>33</v>
      </c>
      <c r="B34">
        <f>YEAR(Table8[[#This Row],[Date]])+IF(MONTH(Table8[[#This Row],[Date]])&gt;=4,1,0)</f>
        <v>2026</v>
      </c>
      <c r="C34" s="121">
        <f>YEAR(Table6[[#This Row],[Date]])</f>
        <v>2025</v>
      </c>
      <c r="D34" s="121" t="s">
        <v>461</v>
      </c>
      <c r="E34" s="135">
        <f>Table8[[#This Row],[Date]]-DAY(Table8[[#This Row],[Date]])+1</f>
        <v>45778</v>
      </c>
      <c r="F34" s="134">
        <v>45808</v>
      </c>
      <c r="G34" t="s">
        <v>628</v>
      </c>
      <c r="H34" t="s">
        <v>484</v>
      </c>
      <c r="I34" t="s">
        <v>485</v>
      </c>
      <c r="J34" s="345">
        <f>IFERROR(_xlfn.XLOOKUP(Table8[[#This Row],[Affected Feeder ]],'Basic Data'!$A:$A,'Basic Data'!$E:$E),"")</f>
        <v>0.10256410256410256</v>
      </c>
      <c r="K34" t="s">
        <v>632</v>
      </c>
      <c r="L34" s="346">
        <v>0.4201388888888889</v>
      </c>
      <c r="M34" s="346">
        <v>0.4201388888888889</v>
      </c>
      <c r="N34" s="346">
        <v>0.48472222222222222</v>
      </c>
      <c r="O34" s="111">
        <f>(Table8[[#This Row],[Work Start TimeStamp]]-Table8[[#This Row],[Fault Start TimeStamp]])*24</f>
        <v>0</v>
      </c>
      <c r="P34" s="111">
        <f>IF(Table8[[#This Row],[Work Start TimeStamp]]="","",(Table8[[#This Row],[Fault Clearance time]]-Table8[[#This Row],[Work Start TimeStamp]])*24)</f>
        <v>1.5499999999999998</v>
      </c>
      <c r="Q34" s="111">
        <f>(Table8[[#This Row],[Fault Clearance time]]-Table8[[#This Row],[Fault Start TimeStamp]])*24</f>
        <v>1.5499999999999998</v>
      </c>
      <c r="R34" t="s">
        <v>1197</v>
      </c>
      <c r="S34" t="s">
        <v>463</v>
      </c>
      <c r="T34" s="146">
        <f>IFERROR(Table8[[#This Row],[Breakdown Time]]*Table8[[#This Row],[Plant Equivalent Weightage]],"")</f>
        <v>0.15897435897435894</v>
      </c>
      <c r="U34" t="s">
        <v>469</v>
      </c>
      <c r="V34" s="123">
        <v>11314.999999999998</v>
      </c>
      <c r="W34" t="s">
        <v>621</v>
      </c>
    </row>
    <row r="35" spans="1:23">
      <c r="A35" s="121">
        <f t="shared" si="0"/>
        <v>34</v>
      </c>
      <c r="B35">
        <f>YEAR(Table8[[#This Row],[Date]])+IF(MONTH(Table8[[#This Row],[Date]])&gt;=4,1,0)</f>
        <v>2026</v>
      </c>
      <c r="C35" s="121">
        <f>YEAR(Table6[[#This Row],[Date]])</f>
        <v>2025</v>
      </c>
      <c r="D35" s="121" t="s">
        <v>461</v>
      </c>
      <c r="E35" s="135">
        <f>Table8[[#This Row],[Date]]-DAY(Table8[[#This Row],[Date]])+1</f>
        <v>45778</v>
      </c>
      <c r="F35" s="134">
        <v>45808</v>
      </c>
      <c r="G35" t="s">
        <v>630</v>
      </c>
      <c r="H35" t="s">
        <v>484</v>
      </c>
      <c r="I35" t="s">
        <v>485</v>
      </c>
      <c r="J35" s="345">
        <f>IFERROR(_xlfn.XLOOKUP(Table8[[#This Row],[Affected Feeder ]],'Basic Data'!$A:$A,'Basic Data'!$E:$E),"")</f>
        <v>0.15384615384615385</v>
      </c>
      <c r="K35" t="s">
        <v>632</v>
      </c>
      <c r="L35" s="346">
        <v>0.4201388888888889</v>
      </c>
      <c r="M35" s="346">
        <v>0.4201388888888889</v>
      </c>
      <c r="N35" s="346">
        <v>0.53125</v>
      </c>
      <c r="O35" s="111">
        <f>(Table8[[#This Row],[Work Start TimeStamp]]-Table8[[#This Row],[Fault Start TimeStamp]])*24</f>
        <v>0</v>
      </c>
      <c r="P35" s="111">
        <f>IF(Table8[[#This Row],[Work Start TimeStamp]]="","",(Table8[[#This Row],[Fault Clearance time]]-Table8[[#This Row],[Work Start TimeStamp]])*24)</f>
        <v>2.6666666666666665</v>
      </c>
      <c r="Q35" s="111">
        <f>(Table8[[#This Row],[Fault Clearance time]]-Table8[[#This Row],[Fault Start TimeStamp]])*24</f>
        <v>2.6666666666666665</v>
      </c>
      <c r="R35" t="s">
        <v>1196</v>
      </c>
      <c r="S35" t="s">
        <v>463</v>
      </c>
      <c r="T35" s="146">
        <f>IFERROR(Table8[[#This Row],[Breakdown Time]]*Table8[[#This Row],[Plant Equivalent Weightage]],"")</f>
        <v>0.41025641025641024</v>
      </c>
      <c r="U35" t="s">
        <v>469</v>
      </c>
      <c r="V35" s="123">
        <v>19466.666666666664</v>
      </c>
      <c r="W35" t="s">
        <v>621</v>
      </c>
    </row>
    <row r="36" spans="1:23">
      <c r="A36" s="121">
        <f t="shared" si="0"/>
        <v>35</v>
      </c>
      <c r="B36">
        <f>YEAR(Table8[[#This Row],[Date]])+IF(MONTH(Table8[[#This Row],[Date]])&gt;=4,1,0)</f>
        <v>2026</v>
      </c>
      <c r="C36" s="121">
        <f>YEAR(Table6[[#This Row],[Date]])</f>
        <v>2025</v>
      </c>
      <c r="D36" s="121" t="s">
        <v>461</v>
      </c>
      <c r="E36" s="135">
        <f>Table8[[#This Row],[Date]]-DAY(Table8[[#This Row],[Date]])+1</f>
        <v>45809</v>
      </c>
      <c r="F36" s="134">
        <v>45809</v>
      </c>
      <c r="G36" t="s">
        <v>620</v>
      </c>
      <c r="H36" t="s">
        <v>484</v>
      </c>
      <c r="I36" t="s">
        <v>485</v>
      </c>
      <c r="J36" s="345">
        <f>IFERROR(_xlfn.XLOOKUP(Table8[[#This Row],[Affected Feeder ]],'Basic Data'!$A:$A,'Basic Data'!$E:$E),"")</f>
        <v>0.25641025641025639</v>
      </c>
      <c r="K36" t="s">
        <v>632</v>
      </c>
      <c r="L36" s="346">
        <v>0.52152777777777781</v>
      </c>
      <c r="M36" s="346">
        <v>0.52152777777777781</v>
      </c>
      <c r="N36" s="346">
        <v>0.5229166666666667</v>
      </c>
      <c r="O36" s="111">
        <f>(Table8[[#This Row],[Work Start TimeStamp]]-Table8[[#This Row],[Fault Start TimeStamp]])*24</f>
        <v>0</v>
      </c>
      <c r="P36" s="111">
        <f>IF(Table8[[#This Row],[Work Start TimeStamp]]="","",(Table8[[#This Row],[Fault Clearance time]]-Table8[[#This Row],[Work Start TimeStamp]])*24)</f>
        <v>3.3333333333333215E-2</v>
      </c>
      <c r="Q36" s="111">
        <f>(Table8[[#This Row],[Fault Clearance time]]-Table8[[#This Row],[Fault Start TimeStamp]])*24</f>
        <v>3.3333333333333215E-2</v>
      </c>
      <c r="R36" t="s">
        <v>623</v>
      </c>
      <c r="S36" t="s">
        <v>463</v>
      </c>
      <c r="T36" s="146">
        <f>IFERROR(Table8[[#This Row],[Breakdown Time]]*Table8[[#This Row],[Plant Equivalent Weightage]],"")</f>
        <v>8.5470085470085166E-3</v>
      </c>
      <c r="U36" t="s">
        <v>470</v>
      </c>
      <c r="V36" s="123">
        <v>248.33333333333243</v>
      </c>
      <c r="W36" t="s">
        <v>621</v>
      </c>
    </row>
    <row r="37" spans="1:23">
      <c r="A37" s="121">
        <f t="shared" si="0"/>
        <v>36</v>
      </c>
      <c r="B37">
        <f>YEAR(Table8[[#This Row],[Date]])+IF(MONTH(Table8[[#This Row],[Date]])&gt;=4,1,0)</f>
        <v>2026</v>
      </c>
      <c r="C37" s="121">
        <f>YEAR(Table6[[#This Row],[Date]])</f>
        <v>2025</v>
      </c>
      <c r="D37" s="121" t="s">
        <v>461</v>
      </c>
      <c r="E37" s="135">
        <f>Table8[[#This Row],[Date]]-DAY(Table8[[#This Row],[Date]])+1</f>
        <v>45809</v>
      </c>
      <c r="F37" s="134">
        <v>45809</v>
      </c>
      <c r="G37" t="s">
        <v>617</v>
      </c>
      <c r="H37" t="s">
        <v>484</v>
      </c>
      <c r="I37" t="s">
        <v>485</v>
      </c>
      <c r="J37" s="345">
        <f>IFERROR(_xlfn.XLOOKUP(Table8[[#This Row],[Affected Feeder ]],'Basic Data'!$A:$A,'Basic Data'!$E:$E),"")</f>
        <v>0.25641025641025639</v>
      </c>
      <c r="K37" t="s">
        <v>634</v>
      </c>
      <c r="L37" s="346">
        <v>0.69791666666666663</v>
      </c>
      <c r="M37" s="346">
        <v>0.69791666666666663</v>
      </c>
      <c r="N37" s="346">
        <v>0.7</v>
      </c>
      <c r="O37" s="111">
        <f>(Table8[[#This Row],[Work Start TimeStamp]]-Table8[[#This Row],[Fault Start TimeStamp]])*24</f>
        <v>0</v>
      </c>
      <c r="P37" s="111">
        <f>IF(Table8[[#This Row],[Work Start TimeStamp]]="","",(Table8[[#This Row],[Fault Clearance time]]-Table8[[#This Row],[Work Start TimeStamp]])*24)</f>
        <v>4.9999999999999822E-2</v>
      </c>
      <c r="Q37" s="111">
        <f>(Table8[[#This Row],[Fault Clearance time]]-Table8[[#This Row],[Fault Start TimeStamp]])*24</f>
        <v>4.9999999999999822E-2</v>
      </c>
      <c r="R37" t="s">
        <v>623</v>
      </c>
      <c r="S37" t="s">
        <v>463</v>
      </c>
      <c r="T37" s="146">
        <f>IFERROR(Table8[[#This Row],[Breakdown Time]]*Table8[[#This Row],[Plant Equivalent Weightage]],"")</f>
        <v>1.2820512820512773E-2</v>
      </c>
      <c r="U37" t="s">
        <v>470</v>
      </c>
      <c r="V37" s="123">
        <v>312.49999999999892</v>
      </c>
      <c r="W37" t="s">
        <v>621</v>
      </c>
    </row>
    <row r="38" spans="1:23">
      <c r="A38" s="121">
        <f t="shared" si="0"/>
        <v>37</v>
      </c>
      <c r="B38">
        <f>YEAR(Table8[[#This Row],[Date]])+IF(MONTH(Table8[[#This Row],[Date]])&gt;=4,1,0)</f>
        <v>2026</v>
      </c>
      <c r="C38" s="121">
        <f>YEAR(Table6[[#This Row],[Date]])</f>
        <v>2025</v>
      </c>
      <c r="D38" s="121" t="s">
        <v>461</v>
      </c>
      <c r="E38" s="135">
        <f>Table8[[#This Row],[Date]]-DAY(Table8[[#This Row],[Date]])+1</f>
        <v>45809</v>
      </c>
      <c r="F38" s="134">
        <v>45810</v>
      </c>
      <c r="G38" t="s">
        <v>628</v>
      </c>
      <c r="H38" t="s">
        <v>484</v>
      </c>
      <c r="I38" t="s">
        <v>485</v>
      </c>
      <c r="J38" s="345">
        <f>IFERROR(_xlfn.XLOOKUP(Table8[[#This Row],[Affected Feeder ]],'Basic Data'!$A:$A,'Basic Data'!$E:$E),"")</f>
        <v>0.10256410256410256</v>
      </c>
      <c r="K38" t="s">
        <v>1011</v>
      </c>
      <c r="L38" s="346">
        <v>0.62152777777777779</v>
      </c>
      <c r="M38" s="346">
        <v>0.62152777777777779</v>
      </c>
      <c r="N38" s="346">
        <v>0.66319444444444442</v>
      </c>
      <c r="O38" s="111">
        <f>(Table8[[#This Row],[Work Start TimeStamp]]-Table8[[#This Row],[Fault Start TimeStamp]])*24</f>
        <v>0</v>
      </c>
      <c r="P38" s="111">
        <f>IF(Table8[[#This Row],[Work Start TimeStamp]]="","",(Table8[[#This Row],[Fault Clearance time]]-Table8[[#This Row],[Work Start TimeStamp]])*24)</f>
        <v>0.99999999999999911</v>
      </c>
      <c r="Q38" s="111">
        <f>(Table8[[#This Row],[Fault Clearance time]]-Table8[[#This Row],[Fault Start TimeStamp]])*24</f>
        <v>0.99999999999999911</v>
      </c>
      <c r="R38" t="s">
        <v>645</v>
      </c>
      <c r="S38" t="s">
        <v>463</v>
      </c>
      <c r="T38" s="146">
        <f>IFERROR(Table8[[#This Row],[Breakdown Time]]*Table8[[#This Row],[Plant Equivalent Weightage]],"")</f>
        <v>0.10256410256410246</v>
      </c>
      <c r="U38" t="s">
        <v>471</v>
      </c>
      <c r="V38" s="123">
        <v>3699.9999999999968</v>
      </c>
      <c r="W38" t="s">
        <v>621</v>
      </c>
    </row>
    <row r="39" spans="1:23">
      <c r="A39" s="121">
        <f t="shared" si="0"/>
        <v>38</v>
      </c>
      <c r="B39">
        <f>YEAR(Table8[[#This Row],[Date]])+IF(MONTH(Table8[[#This Row],[Date]])&gt;=4,1,0)</f>
        <v>2026</v>
      </c>
      <c r="C39" s="121">
        <f>YEAR(Table6[[#This Row],[Date]])</f>
        <v>2025</v>
      </c>
      <c r="D39" s="121" t="s">
        <v>461</v>
      </c>
      <c r="E39" s="135">
        <f>Table8[[#This Row],[Date]]-DAY(Table8[[#This Row],[Date]])+1</f>
        <v>45809</v>
      </c>
      <c r="F39" s="134">
        <v>45811</v>
      </c>
      <c r="G39" t="s">
        <v>620</v>
      </c>
      <c r="H39" t="s">
        <v>484</v>
      </c>
      <c r="I39" t="s">
        <v>485</v>
      </c>
      <c r="J39" s="345">
        <f>IFERROR(_xlfn.XLOOKUP(Table8[[#This Row],[Affected Feeder ]],'Basic Data'!$A:$A,'Basic Data'!$E:$E),"")</f>
        <v>0.25641025641025639</v>
      </c>
      <c r="K39" t="s">
        <v>632</v>
      </c>
      <c r="L39" s="346">
        <v>0.19444444444444445</v>
      </c>
      <c r="M39" s="346">
        <v>0.19444444444444445</v>
      </c>
      <c r="N39" s="346">
        <v>0.20416666666666666</v>
      </c>
      <c r="O39" s="111">
        <f>(Table8[[#This Row],[Work Start TimeStamp]]-Table8[[#This Row],[Fault Start TimeStamp]])*24</f>
        <v>0</v>
      </c>
      <c r="P39" s="111">
        <f>IF(Table8[[#This Row],[Work Start TimeStamp]]="","",(Table8[[#This Row],[Fault Clearance time]]-Table8[[#This Row],[Work Start TimeStamp]])*24)</f>
        <v>0.23333333333333317</v>
      </c>
      <c r="Q39" s="111">
        <f>(Table8[[#This Row],[Fault Clearance time]]-Table8[[#This Row],[Fault Start TimeStamp]])*24</f>
        <v>0.23333333333333317</v>
      </c>
      <c r="R39" t="s">
        <v>623</v>
      </c>
      <c r="S39" t="s">
        <v>463</v>
      </c>
      <c r="T39" s="146">
        <f>IFERROR(Table8[[#This Row],[Breakdown Time]]*Table8[[#This Row],[Plant Equivalent Weightage]],"")</f>
        <v>5.9829059829059783E-2</v>
      </c>
      <c r="U39" t="s">
        <v>470</v>
      </c>
      <c r="V39" s="123">
        <v>1702</v>
      </c>
      <c r="W39" t="s">
        <v>621</v>
      </c>
    </row>
    <row r="40" spans="1:23">
      <c r="A40" s="121">
        <f t="shared" si="0"/>
        <v>39</v>
      </c>
      <c r="B40">
        <f>YEAR(Table8[[#This Row],[Date]])+IF(MONTH(Table8[[#This Row],[Date]])&gt;=4,1,0)</f>
        <v>2026</v>
      </c>
      <c r="C40" s="121">
        <f>YEAR(Table6[[#This Row],[Date]])</f>
        <v>2025</v>
      </c>
      <c r="D40" s="121" t="s">
        <v>461</v>
      </c>
      <c r="E40" s="135">
        <f>Table8[[#This Row],[Date]]-DAY(Table8[[#This Row],[Date]])+1</f>
        <v>45809</v>
      </c>
      <c r="F40" s="134">
        <v>45812</v>
      </c>
      <c r="G40" t="s">
        <v>618</v>
      </c>
      <c r="H40" t="s">
        <v>484</v>
      </c>
      <c r="I40" t="s">
        <v>485</v>
      </c>
      <c r="J40" s="345">
        <f>IFERROR(_xlfn.XLOOKUP(Table8[[#This Row],[Affected Feeder ]],'Basic Data'!$A:$A,'Basic Data'!$E:$E),"")</f>
        <v>0.23076923076923078</v>
      </c>
      <c r="K40" t="s">
        <v>1214</v>
      </c>
      <c r="L40" s="346">
        <v>0.4375</v>
      </c>
      <c r="M40" s="346">
        <v>0.4375</v>
      </c>
      <c r="N40" s="346">
        <v>0.59097222222222223</v>
      </c>
      <c r="O40" s="111">
        <f>(Table8[[#This Row],[Work Start TimeStamp]]-Table8[[#This Row],[Fault Start TimeStamp]])*24</f>
        <v>0</v>
      </c>
      <c r="P40" s="111">
        <f>IF(Table8[[#This Row],[Work Start TimeStamp]]="","",(Table8[[#This Row],[Fault Clearance time]]-Table8[[#This Row],[Work Start TimeStamp]])*24)</f>
        <v>3.6833333333333336</v>
      </c>
      <c r="Q40" s="111">
        <f>(Table8[[#This Row],[Fault Clearance time]]-Table8[[#This Row],[Fault Start TimeStamp]])*24</f>
        <v>3.6833333333333336</v>
      </c>
      <c r="R40" t="s">
        <v>1170</v>
      </c>
      <c r="S40" t="s">
        <v>463</v>
      </c>
      <c r="T40" s="146">
        <f>IFERROR(Table8[[#This Row],[Breakdown Time]]*Table8[[#This Row],[Plant Equivalent Weightage]],"")</f>
        <v>0.85000000000000009</v>
      </c>
      <c r="U40" t="s">
        <v>471</v>
      </c>
      <c r="V40" s="123">
        <v>8121.7500000000009</v>
      </c>
      <c r="W40" t="s">
        <v>621</v>
      </c>
    </row>
    <row r="41" spans="1:23">
      <c r="A41" s="121">
        <f t="shared" si="0"/>
        <v>40</v>
      </c>
      <c r="B41">
        <f>YEAR(Table8[[#This Row],[Date]])+IF(MONTH(Table8[[#This Row],[Date]])&gt;=4,1,0)</f>
        <v>2026</v>
      </c>
      <c r="C41" s="121">
        <f>YEAR(Table6[[#This Row],[Date]])</f>
        <v>2025</v>
      </c>
      <c r="D41" s="121" t="s">
        <v>461</v>
      </c>
      <c r="E41" s="135">
        <f>Table8[[#This Row],[Date]]-DAY(Table8[[#This Row],[Date]])+1</f>
        <v>45809</v>
      </c>
      <c r="F41" s="134">
        <v>45812</v>
      </c>
      <c r="G41" t="s">
        <v>619</v>
      </c>
      <c r="H41" t="s">
        <v>484</v>
      </c>
      <c r="I41" t="s">
        <v>485</v>
      </c>
      <c r="J41" s="345">
        <f>IFERROR(_xlfn.XLOOKUP(Table8[[#This Row],[Affected Feeder ]],'Basic Data'!$A:$A,'Basic Data'!$E:$E),"")</f>
        <v>0.25641025641025639</v>
      </c>
      <c r="K41" t="s">
        <v>1215</v>
      </c>
      <c r="L41" s="346">
        <v>0.4375</v>
      </c>
      <c r="M41" s="346">
        <v>0.4375</v>
      </c>
      <c r="N41" s="346">
        <v>0.59097222222222223</v>
      </c>
      <c r="O41" s="111">
        <f>(Table8[[#This Row],[Work Start TimeStamp]]-Table8[[#This Row],[Fault Start TimeStamp]])*24</f>
        <v>0</v>
      </c>
      <c r="P41" s="111">
        <f>IF(Table8[[#This Row],[Work Start TimeStamp]]="","",(Table8[[#This Row],[Fault Clearance time]]-Table8[[#This Row],[Work Start TimeStamp]])*24)</f>
        <v>3.6833333333333336</v>
      </c>
      <c r="Q41" s="111">
        <f>(Table8[[#This Row],[Fault Clearance time]]-Table8[[#This Row],[Fault Start TimeStamp]])*24</f>
        <v>3.6833333333333336</v>
      </c>
      <c r="R41" t="s">
        <v>1170</v>
      </c>
      <c r="S41" t="s">
        <v>463</v>
      </c>
      <c r="T41" s="146">
        <f>IFERROR(Table8[[#This Row],[Breakdown Time]]*Table8[[#This Row],[Plant Equivalent Weightage]],"")</f>
        <v>0.94444444444444442</v>
      </c>
      <c r="U41" t="s">
        <v>471</v>
      </c>
      <c r="V41" s="123">
        <v>8594.4444444444453</v>
      </c>
      <c r="W41" t="s">
        <v>621</v>
      </c>
    </row>
    <row r="42" spans="1:23">
      <c r="A42" s="121">
        <f t="shared" si="0"/>
        <v>41</v>
      </c>
      <c r="B42">
        <f>YEAR(Table8[[#This Row],[Date]])+IF(MONTH(Table8[[#This Row],[Date]])&gt;=4,1,0)</f>
        <v>2026</v>
      </c>
      <c r="C42" s="121">
        <f>YEAR(Table6[[#This Row],[Date]])</f>
        <v>2025</v>
      </c>
      <c r="D42" s="121" t="s">
        <v>461</v>
      </c>
      <c r="E42" s="135">
        <f>Table8[[#This Row],[Date]]-DAY(Table8[[#This Row],[Date]])+1</f>
        <v>45809</v>
      </c>
      <c r="F42" s="134">
        <v>45812</v>
      </c>
      <c r="G42" t="s">
        <v>620</v>
      </c>
      <c r="H42" t="s">
        <v>484</v>
      </c>
      <c r="I42" t="s">
        <v>485</v>
      </c>
      <c r="J42" s="345">
        <f>IFERROR(_xlfn.XLOOKUP(Table8[[#This Row],[Affected Feeder ]],'Basic Data'!$A:$A,'Basic Data'!$E:$E),"")</f>
        <v>0.25641025641025639</v>
      </c>
      <c r="K42" t="s">
        <v>632</v>
      </c>
      <c r="L42" s="346">
        <v>0.60763888888888884</v>
      </c>
      <c r="M42" s="346">
        <v>0.60763888888888884</v>
      </c>
      <c r="N42" s="346">
        <v>0.61805555555555558</v>
      </c>
      <c r="O42" s="111">
        <f>(Table8[[#This Row],[Work Start TimeStamp]]-Table8[[#This Row],[Fault Start TimeStamp]])*24</f>
        <v>0</v>
      </c>
      <c r="P42" s="111">
        <f>IF(Table8[[#This Row],[Work Start TimeStamp]]="","",(Table8[[#This Row],[Fault Clearance time]]-Table8[[#This Row],[Work Start TimeStamp]])*24)</f>
        <v>0.25000000000000178</v>
      </c>
      <c r="Q42" s="111">
        <f>(Table8[[#This Row],[Fault Clearance time]]-Table8[[#This Row],[Fault Start TimeStamp]])*24</f>
        <v>0.25000000000000178</v>
      </c>
      <c r="R42" t="s">
        <v>623</v>
      </c>
      <c r="S42" t="s">
        <v>463</v>
      </c>
      <c r="T42" s="146">
        <f>IFERROR(Table8[[#This Row],[Breakdown Time]]*Table8[[#This Row],[Plant Equivalent Weightage]],"")</f>
        <v>6.4102564102564555E-2</v>
      </c>
      <c r="U42" t="s">
        <v>469</v>
      </c>
      <c r="V42" s="123">
        <v>312.50000000000222</v>
      </c>
      <c r="W42" t="s">
        <v>621</v>
      </c>
    </row>
    <row r="43" spans="1:23">
      <c r="A43" s="121">
        <f t="shared" si="0"/>
        <v>42</v>
      </c>
      <c r="B43">
        <f>YEAR(Table8[[#This Row],[Date]])+IF(MONTH(Table8[[#This Row],[Date]])&gt;=4,1,0)</f>
        <v>2026</v>
      </c>
      <c r="C43" s="121">
        <f>YEAR(Table6[[#This Row],[Date]])</f>
        <v>2025</v>
      </c>
      <c r="D43" s="121" t="s">
        <v>461</v>
      </c>
      <c r="E43" s="135">
        <f>Table8[[#This Row],[Date]]-DAY(Table8[[#This Row],[Date]])+1</f>
        <v>45809</v>
      </c>
      <c r="F43" s="134">
        <v>45812</v>
      </c>
      <c r="G43" t="s">
        <v>620</v>
      </c>
      <c r="H43" t="s">
        <v>484</v>
      </c>
      <c r="I43" t="s">
        <v>485</v>
      </c>
      <c r="J43" s="345">
        <f>IFERROR(_xlfn.XLOOKUP(Table8[[#This Row],[Affected Feeder ]],'Basic Data'!$A:$A,'Basic Data'!$E:$E),"")</f>
        <v>0.25641025641025639</v>
      </c>
      <c r="K43" t="s">
        <v>1216</v>
      </c>
      <c r="L43" s="346">
        <v>0.6875</v>
      </c>
      <c r="M43" s="346">
        <v>0.6875</v>
      </c>
      <c r="N43" s="346">
        <v>0.87152777777777779</v>
      </c>
      <c r="O43" s="111">
        <f>(Table8[[#This Row],[Work Start TimeStamp]]-Table8[[#This Row],[Fault Start TimeStamp]])*24</f>
        <v>0</v>
      </c>
      <c r="P43" s="111">
        <f>IF(Table8[[#This Row],[Work Start TimeStamp]]="","",(Table8[[#This Row],[Fault Clearance time]]-Table8[[#This Row],[Work Start TimeStamp]])*24)</f>
        <v>4.416666666666667</v>
      </c>
      <c r="Q43" s="111">
        <f>(Table8[[#This Row],[Fault Clearance time]]-Table8[[#This Row],[Fault Start TimeStamp]])*24</f>
        <v>4.416666666666667</v>
      </c>
      <c r="R43" t="s">
        <v>1217</v>
      </c>
      <c r="S43" t="s">
        <v>463</v>
      </c>
      <c r="T43" s="146">
        <f>IFERROR(Table8[[#This Row],[Breakdown Time]]*Table8[[#This Row],[Plant Equivalent Weightage]],"")</f>
        <v>1.1324786324786325</v>
      </c>
      <c r="U43" t="s">
        <v>469</v>
      </c>
      <c r="V43" s="123">
        <v>5520.8333333333339</v>
      </c>
      <c r="W43" t="s">
        <v>621</v>
      </c>
    </row>
    <row r="44" spans="1:23">
      <c r="A44" s="121">
        <f t="shared" si="0"/>
        <v>43</v>
      </c>
      <c r="B44">
        <f>YEAR(Table8[[#This Row],[Date]])+IF(MONTH(Table8[[#This Row],[Date]])&gt;=4,1,0)</f>
        <v>2026</v>
      </c>
      <c r="C44" s="121">
        <f>YEAR(Table6[[#This Row],[Date]])</f>
        <v>2025</v>
      </c>
      <c r="D44" s="121" t="s">
        <v>461</v>
      </c>
      <c r="E44" s="135">
        <f>Table8[[#This Row],[Date]]-DAY(Table8[[#This Row],[Date]])+1</f>
        <v>45809</v>
      </c>
      <c r="F44" s="134">
        <v>45816</v>
      </c>
      <c r="G44" t="s">
        <v>620</v>
      </c>
      <c r="H44" t="s">
        <v>484</v>
      </c>
      <c r="I44" t="s">
        <v>485</v>
      </c>
      <c r="J44" s="345">
        <f>IFERROR(_xlfn.XLOOKUP(Table8[[#This Row],[Affected Feeder ]],'Basic Data'!$A:$A,'Basic Data'!$E:$E),"")</f>
        <v>0.25641025641025639</v>
      </c>
      <c r="K44" t="s">
        <v>632</v>
      </c>
      <c r="L44" s="346">
        <v>0.28402777777777777</v>
      </c>
      <c r="M44" s="346">
        <v>0.28402777777777777</v>
      </c>
      <c r="N44" s="346">
        <v>0.28541666666666665</v>
      </c>
      <c r="O44" s="111">
        <f>(Table8[[#This Row],[Work Start TimeStamp]]-Table8[[#This Row],[Fault Start TimeStamp]])*24</f>
        <v>0</v>
      </c>
      <c r="P44" s="111">
        <f>IF(Table8[[#This Row],[Work Start TimeStamp]]="","",(Table8[[#This Row],[Fault Clearance time]]-Table8[[#This Row],[Work Start TimeStamp]])*24)</f>
        <v>3.3333333333333215E-2</v>
      </c>
      <c r="Q44" s="111">
        <f>(Table8[[#This Row],[Fault Clearance time]]-Table8[[#This Row],[Fault Start TimeStamp]])*24</f>
        <v>3.3333333333333215E-2</v>
      </c>
      <c r="R44" t="s">
        <v>623</v>
      </c>
      <c r="S44" t="s">
        <v>463</v>
      </c>
      <c r="T44" s="146">
        <f>IFERROR(Table8[[#This Row],[Breakdown Time]]*Table8[[#This Row],[Plant Equivalent Weightage]],"")</f>
        <v>8.5470085470085166E-3</v>
      </c>
      <c r="U44" t="s">
        <v>470</v>
      </c>
      <c r="V44" s="123">
        <v>179.16666666666603</v>
      </c>
      <c r="W44" t="s">
        <v>621</v>
      </c>
    </row>
    <row r="45" spans="1:23">
      <c r="A45" s="121">
        <f t="shared" si="0"/>
        <v>44</v>
      </c>
      <c r="B45">
        <f>YEAR(Table8[[#This Row],[Date]])+IF(MONTH(Table8[[#This Row],[Date]])&gt;=4,1,0)</f>
        <v>2026</v>
      </c>
      <c r="C45" s="121">
        <f>YEAR(Table6[[#This Row],[Date]])</f>
        <v>2025</v>
      </c>
      <c r="D45" s="121" t="s">
        <v>461</v>
      </c>
      <c r="E45" s="135">
        <f>Table8[[#This Row],[Date]]-DAY(Table8[[#This Row],[Date]])+1</f>
        <v>45809</v>
      </c>
      <c r="F45" s="134">
        <v>45816</v>
      </c>
      <c r="G45" t="s">
        <v>620</v>
      </c>
      <c r="H45" t="s">
        <v>484</v>
      </c>
      <c r="I45" t="s">
        <v>485</v>
      </c>
      <c r="J45" s="345">
        <f>IFERROR(_xlfn.XLOOKUP(Table8[[#This Row],[Affected Feeder ]],'Basic Data'!$A:$A,'Basic Data'!$E:$E),"")</f>
        <v>0.25641025641025639</v>
      </c>
      <c r="K45" t="s">
        <v>1226</v>
      </c>
      <c r="L45" s="346">
        <v>0.79305555555555551</v>
      </c>
      <c r="M45" s="346">
        <v>0.79305555555555551</v>
      </c>
      <c r="N45" s="346">
        <v>0.87847222222222221</v>
      </c>
      <c r="O45" s="111">
        <f>(Table8[[#This Row],[Work Start TimeStamp]]-Table8[[#This Row],[Fault Start TimeStamp]])*24</f>
        <v>0</v>
      </c>
      <c r="P45" s="111">
        <f>IF(Table8[[#This Row],[Work Start TimeStamp]]="","",(Table8[[#This Row],[Fault Clearance time]]-Table8[[#This Row],[Work Start TimeStamp]])*24)</f>
        <v>2.0500000000000007</v>
      </c>
      <c r="Q45" s="111">
        <f>(Table8[[#This Row],[Fault Clearance time]]-Table8[[#This Row],[Fault Start TimeStamp]])*24</f>
        <v>2.0500000000000007</v>
      </c>
      <c r="R45" t="s">
        <v>1225</v>
      </c>
      <c r="S45" t="s">
        <v>463</v>
      </c>
      <c r="T45" s="146">
        <f>IFERROR(Table8[[#This Row],[Breakdown Time]]*Table8[[#This Row],[Plant Equivalent Weightage]],"")</f>
        <v>0.52564102564102577</v>
      </c>
      <c r="U45" t="s">
        <v>470</v>
      </c>
      <c r="V45" s="123">
        <v>11018.750000000004</v>
      </c>
      <c r="W45" t="s">
        <v>621</v>
      </c>
    </row>
    <row r="46" spans="1:23">
      <c r="A46" s="121">
        <f t="shared" si="0"/>
        <v>45</v>
      </c>
      <c r="B46">
        <f>YEAR(Table8[[#This Row],[Date]])+IF(MONTH(Table8[[#This Row],[Date]])&gt;=4,1,0)</f>
        <v>2026</v>
      </c>
      <c r="C46" s="121">
        <f>YEAR(Table6[[#This Row],[Date]])</f>
        <v>2025</v>
      </c>
      <c r="D46" s="121" t="s">
        <v>461</v>
      </c>
      <c r="E46" s="135">
        <f>Table8[[#This Row],[Date]]-DAY(Table8[[#This Row],[Date]])+1</f>
        <v>45809</v>
      </c>
      <c r="F46" s="134">
        <v>45819</v>
      </c>
      <c r="G46" t="s">
        <v>618</v>
      </c>
      <c r="H46" t="s">
        <v>484</v>
      </c>
      <c r="I46" t="s">
        <v>485</v>
      </c>
      <c r="J46" s="345">
        <f>IFERROR(_xlfn.XLOOKUP(Table8[[#This Row],[Affected Feeder ]],'Basic Data'!$A:$A,'Basic Data'!$E:$E),"")</f>
        <v>0.23076923076923078</v>
      </c>
      <c r="K46" t="s">
        <v>1237</v>
      </c>
      <c r="L46" s="346">
        <v>0.69236111111111109</v>
      </c>
      <c r="M46" s="346">
        <v>0.69236111111111109</v>
      </c>
      <c r="N46" s="346">
        <v>0.69791666666666663</v>
      </c>
      <c r="O46" s="111">
        <f>(Table8[[#This Row],[Work Start TimeStamp]]-Table8[[#This Row],[Fault Start TimeStamp]])*24</f>
        <v>0</v>
      </c>
      <c r="P46" s="111">
        <f>IF(Table8[[#This Row],[Work Start TimeStamp]]="","",(Table8[[#This Row],[Fault Clearance time]]-Table8[[#This Row],[Work Start TimeStamp]])*24)</f>
        <v>0.13333333333333286</v>
      </c>
      <c r="Q46" s="111">
        <f>(Table8[[#This Row],[Fault Clearance time]]-Table8[[#This Row],[Fault Start TimeStamp]])*24</f>
        <v>0.13333333333333286</v>
      </c>
      <c r="R46" t="s">
        <v>623</v>
      </c>
      <c r="S46" t="s">
        <v>463</v>
      </c>
      <c r="T46" s="146">
        <f>IFERROR(Table8[[#This Row],[Breakdown Time]]*Table8[[#This Row],[Plant Equivalent Weightage]],"")</f>
        <v>3.076923076923066E-2</v>
      </c>
      <c r="U46" t="s">
        <v>470</v>
      </c>
      <c r="V46" s="123">
        <v>527</v>
      </c>
      <c r="W46" t="s">
        <v>621</v>
      </c>
    </row>
    <row r="47" spans="1:23">
      <c r="A47" s="121">
        <f t="shared" si="0"/>
        <v>46</v>
      </c>
      <c r="B47">
        <f>YEAR(Table8[[#This Row],[Date]])+IF(MONTH(Table8[[#This Row],[Date]])&gt;=4,1,0)</f>
        <v>2026</v>
      </c>
      <c r="C47" s="121">
        <f>YEAR(Table6[[#This Row],[Date]])</f>
        <v>2025</v>
      </c>
      <c r="D47" s="121" t="s">
        <v>461</v>
      </c>
      <c r="E47" s="135">
        <f>Table8[[#This Row],[Date]]-DAY(Table8[[#This Row],[Date]])+1</f>
        <v>45809</v>
      </c>
      <c r="F47" s="134">
        <v>45821</v>
      </c>
      <c r="G47" t="s">
        <v>630</v>
      </c>
      <c r="H47" t="s">
        <v>484</v>
      </c>
      <c r="I47" t="s">
        <v>485</v>
      </c>
      <c r="J47" s="345">
        <f>IFERROR(_xlfn.XLOOKUP(Table8[[#This Row],[Affected Feeder ]],'Basic Data'!$A:$A,'Basic Data'!$E:$E),"")</f>
        <v>0.15384615384615385</v>
      </c>
      <c r="K47" t="s">
        <v>1241</v>
      </c>
      <c r="L47" s="346">
        <v>0.67361111111111116</v>
      </c>
      <c r="M47" s="346">
        <v>0.67361111111111116</v>
      </c>
      <c r="N47" s="346">
        <v>0.69791666666666663</v>
      </c>
      <c r="O47" s="111">
        <f>(Table8[[#This Row],[Work Start TimeStamp]]-Table8[[#This Row],[Fault Start TimeStamp]])*24</f>
        <v>0</v>
      </c>
      <c r="P47" s="111">
        <f>IF(Table8[[#This Row],[Work Start TimeStamp]]="","",(Table8[[#This Row],[Fault Clearance time]]-Table8[[#This Row],[Work Start TimeStamp]])*24)</f>
        <v>0.58333333333333126</v>
      </c>
      <c r="Q47" s="111">
        <f>(Table8[[#This Row],[Fault Clearance time]]-Table8[[#This Row],[Fault Start TimeStamp]])*24</f>
        <v>0.58333333333333126</v>
      </c>
      <c r="R47" t="s">
        <v>1242</v>
      </c>
      <c r="S47" t="s">
        <v>463</v>
      </c>
      <c r="T47" s="146">
        <f>IFERROR(Table8[[#This Row],[Breakdown Time]]*Table8[[#This Row],[Plant Equivalent Weightage]],"")</f>
        <v>8.9743589743589425E-2</v>
      </c>
      <c r="U47" t="s">
        <v>469</v>
      </c>
      <c r="V47" s="123">
        <v>437</v>
      </c>
      <c r="W47" t="s">
        <v>621</v>
      </c>
    </row>
    <row r="48" spans="1:23">
      <c r="A48" s="121">
        <f t="shared" si="0"/>
        <v>47</v>
      </c>
      <c r="B48">
        <f>YEAR(Table8[[#This Row],[Date]])+IF(MONTH(Table8[[#This Row],[Date]])&gt;=4,1,0)</f>
        <v>2026</v>
      </c>
      <c r="C48" s="121">
        <f>YEAR(Table6[[#This Row],[Date]])</f>
        <v>2025</v>
      </c>
      <c r="D48" s="121" t="s">
        <v>461</v>
      </c>
      <c r="E48" s="135">
        <f>Table8[[#This Row],[Date]]-DAY(Table8[[#This Row],[Date]])+1</f>
        <v>45809</v>
      </c>
      <c r="F48" s="134">
        <v>45824</v>
      </c>
      <c r="G48" t="s">
        <v>620</v>
      </c>
      <c r="H48" t="s">
        <v>484</v>
      </c>
      <c r="I48" t="s">
        <v>485</v>
      </c>
      <c r="J48" s="345">
        <f>IFERROR(_xlfn.XLOOKUP(Table8[[#This Row],[Affected Feeder ]],'Basic Data'!$A:$A,'Basic Data'!$E:$E),"")</f>
        <v>0.25641025641025639</v>
      </c>
      <c r="K48" t="s">
        <v>632</v>
      </c>
      <c r="L48" s="346">
        <v>0.27361111111111114</v>
      </c>
      <c r="M48" s="346">
        <v>0.27361111111111114</v>
      </c>
      <c r="N48" s="346">
        <v>0.27638888888888891</v>
      </c>
      <c r="O48" s="111">
        <f>(Table8[[#This Row],[Work Start TimeStamp]]-Table8[[#This Row],[Fault Start TimeStamp]])*24</f>
        <v>0</v>
      </c>
      <c r="P48" s="111">
        <f>IF(Table8[[#This Row],[Work Start TimeStamp]]="","",(Table8[[#This Row],[Fault Clearance time]]-Table8[[#This Row],[Work Start TimeStamp]])*24)</f>
        <v>6.666666666666643E-2</v>
      </c>
      <c r="Q48" s="111">
        <f>(Table8[[#This Row],[Fault Clearance time]]-Table8[[#This Row],[Fault Start TimeStamp]])*24</f>
        <v>6.666666666666643E-2</v>
      </c>
      <c r="R48" t="s">
        <v>623</v>
      </c>
      <c r="S48" t="s">
        <v>463</v>
      </c>
      <c r="T48" s="146">
        <f>IFERROR(Table8[[#This Row],[Breakdown Time]]*Table8[[#This Row],[Plant Equivalent Weightage]],"")</f>
        <v>1.7094017094017033E-2</v>
      </c>
      <c r="U48" t="s">
        <v>470</v>
      </c>
      <c r="V48" s="123">
        <v>539</v>
      </c>
      <c r="W48" t="s">
        <v>621</v>
      </c>
    </row>
    <row r="49" spans="1:23">
      <c r="A49" s="121">
        <f t="shared" si="0"/>
        <v>48</v>
      </c>
      <c r="B49">
        <f>YEAR(Table8[[#This Row],[Date]])+IF(MONTH(Table8[[#This Row],[Date]])&gt;=4,1,0)</f>
        <v>2026</v>
      </c>
      <c r="C49" s="121">
        <f>YEAR(Table6[[#This Row],[Date]])</f>
        <v>2025</v>
      </c>
      <c r="D49" s="121" t="s">
        <v>461</v>
      </c>
      <c r="E49" s="135">
        <f>Table8[[#This Row],[Date]]-DAY(Table8[[#This Row],[Date]])+1</f>
        <v>45809</v>
      </c>
      <c r="F49" s="134">
        <v>45826</v>
      </c>
      <c r="G49" t="s">
        <v>617</v>
      </c>
      <c r="H49" t="s">
        <v>484</v>
      </c>
      <c r="I49" t="s">
        <v>485</v>
      </c>
      <c r="J49" s="345">
        <f>IFERROR(_xlfn.XLOOKUP(Table8[[#This Row],[Affected Feeder ]],'Basic Data'!$A:$A,'Basic Data'!$E:$E),"")</f>
        <v>0.25641025641025639</v>
      </c>
      <c r="K49" t="s">
        <v>1259</v>
      </c>
      <c r="L49" s="346">
        <v>0.53055555555555556</v>
      </c>
      <c r="M49" s="346">
        <v>0.53055555555555556</v>
      </c>
      <c r="N49" s="346">
        <v>0.53402777777777777</v>
      </c>
      <c r="O49" s="111">
        <f>(Table8[[#This Row],[Work Start TimeStamp]]-Table8[[#This Row],[Fault Start TimeStamp]])*24</f>
        <v>0</v>
      </c>
      <c r="P49" s="111">
        <f>IF(Table8[[#This Row],[Work Start TimeStamp]]="","",(Table8[[#This Row],[Fault Clearance time]]-Table8[[#This Row],[Work Start TimeStamp]])*24)</f>
        <v>8.3333333333333037E-2</v>
      </c>
      <c r="Q49" s="111">
        <f>(Table8[[#This Row],[Fault Clearance time]]-Table8[[#This Row],[Fault Start TimeStamp]])*24</f>
        <v>8.3333333333333037E-2</v>
      </c>
      <c r="R49" t="s">
        <v>623</v>
      </c>
      <c r="S49" t="s">
        <v>463</v>
      </c>
      <c r="T49" s="146">
        <f>IFERROR(Table8[[#This Row],[Breakdown Time]]*Table8[[#This Row],[Plant Equivalent Weightage]],"")</f>
        <v>2.1367521367521288E-2</v>
      </c>
      <c r="U49" t="s">
        <v>470</v>
      </c>
      <c r="V49" s="123">
        <v>935</v>
      </c>
      <c r="W49" t="s">
        <v>621</v>
      </c>
    </row>
    <row r="50" spans="1:23">
      <c r="A50" s="121">
        <f t="shared" si="0"/>
        <v>49</v>
      </c>
      <c r="B50">
        <f>YEAR(Table8[[#This Row],[Date]])+IF(MONTH(Table8[[#This Row],[Date]])&gt;=4,1,0)</f>
        <v>2026</v>
      </c>
      <c r="C50" s="121">
        <f>YEAR(Table6[[#This Row],[Date]])</f>
        <v>2025</v>
      </c>
      <c r="D50" s="121" t="s">
        <v>461</v>
      </c>
      <c r="E50" s="135">
        <f>Table8[[#This Row],[Date]]-DAY(Table8[[#This Row],[Date]])+1</f>
        <v>45809</v>
      </c>
      <c r="F50" s="134">
        <v>45833</v>
      </c>
      <c r="G50" t="s">
        <v>619</v>
      </c>
      <c r="H50" t="s">
        <v>484</v>
      </c>
      <c r="I50" t="s">
        <v>485</v>
      </c>
      <c r="J50" s="345">
        <f>IFERROR(_xlfn.XLOOKUP(Table8[[#This Row],[Affected Feeder ]],'Basic Data'!$A:$A,'Basic Data'!$E:$E),"")</f>
        <v>0.25641025641025639</v>
      </c>
      <c r="K50" t="s">
        <v>1300</v>
      </c>
      <c r="L50" s="346">
        <v>0.51736111111111116</v>
      </c>
      <c r="M50" s="346">
        <v>0.51736111111111116</v>
      </c>
      <c r="N50" s="346">
        <v>0.57638888888888884</v>
      </c>
      <c r="O50" s="111">
        <f>(Table8[[#This Row],[Work Start TimeStamp]]-Table8[[#This Row],[Fault Start TimeStamp]])*24</f>
        <v>0</v>
      </c>
      <c r="P50" s="111">
        <f>IF(Table8[[#This Row],[Work Start TimeStamp]]="","",(Table8[[#This Row],[Fault Clearance time]]-Table8[[#This Row],[Work Start TimeStamp]])*24)</f>
        <v>1.4166666666666643</v>
      </c>
      <c r="Q50" s="111">
        <f>(Table8[[#This Row],[Fault Clearance time]]-Table8[[#This Row],[Fault Start TimeStamp]])*24</f>
        <v>1.4166666666666643</v>
      </c>
      <c r="R50" t="s">
        <v>1301</v>
      </c>
      <c r="S50" t="s">
        <v>463</v>
      </c>
      <c r="T50" s="146">
        <f>IFERROR(Table8[[#This Row],[Breakdown Time]]*Table8[[#This Row],[Plant Equivalent Weightage]],"")</f>
        <v>0.36324786324786262</v>
      </c>
      <c r="U50" t="s">
        <v>469</v>
      </c>
      <c r="V50" s="123">
        <v>12070</v>
      </c>
      <c r="W50" t="s">
        <v>625</v>
      </c>
    </row>
    <row r="51" spans="1:23">
      <c r="A51" s="121">
        <f t="shared" si="0"/>
        <v>50</v>
      </c>
      <c r="B51">
        <f>YEAR(Table8[[#This Row],[Date]])+IF(MONTH(Table8[[#This Row],[Date]])&gt;=4,1,0)</f>
        <v>2026</v>
      </c>
      <c r="C51" s="121">
        <f>YEAR(Table6[[#This Row],[Date]])</f>
        <v>2025</v>
      </c>
      <c r="D51" s="121" t="s">
        <v>461</v>
      </c>
      <c r="E51" s="135">
        <f>Table8[[#This Row],[Date]]-DAY(Table8[[#This Row],[Date]])+1</f>
        <v>45809</v>
      </c>
      <c r="F51" s="134">
        <v>45833</v>
      </c>
      <c r="G51" t="s">
        <v>618</v>
      </c>
      <c r="H51" t="s">
        <v>484</v>
      </c>
      <c r="I51" t="s">
        <v>485</v>
      </c>
      <c r="J51" s="345">
        <f>IFERROR(_xlfn.XLOOKUP(Table8[[#This Row],[Affected Feeder ]],'Basic Data'!$A:$A,'Basic Data'!$E:$E),"")</f>
        <v>0.23076923076923078</v>
      </c>
      <c r="K51" t="s">
        <v>1300</v>
      </c>
      <c r="L51" s="346">
        <v>0.51736111111111116</v>
      </c>
      <c r="M51" s="346">
        <v>0.51736111111111116</v>
      </c>
      <c r="N51" s="346">
        <v>0.57638888888888884</v>
      </c>
      <c r="O51" s="111">
        <f>(Table8[[#This Row],[Work Start TimeStamp]]-Table8[[#This Row],[Fault Start TimeStamp]])*24</f>
        <v>0</v>
      </c>
      <c r="P51" s="111">
        <f>IF(Table8[[#This Row],[Work Start TimeStamp]]="","",(Table8[[#This Row],[Fault Clearance time]]-Table8[[#This Row],[Work Start TimeStamp]])*24)</f>
        <v>1.4166666666666643</v>
      </c>
      <c r="Q51" s="111">
        <f>(Table8[[#This Row],[Fault Clearance time]]-Table8[[#This Row],[Fault Start TimeStamp]])*24</f>
        <v>1.4166666666666643</v>
      </c>
      <c r="R51" t="s">
        <v>1301</v>
      </c>
      <c r="S51" t="s">
        <v>463</v>
      </c>
      <c r="T51" s="146">
        <f>IFERROR(Table8[[#This Row],[Breakdown Time]]*Table8[[#This Row],[Plant Equivalent Weightage]],"")</f>
        <v>0.32692307692307637</v>
      </c>
      <c r="U51" t="s">
        <v>469</v>
      </c>
      <c r="V51" s="123">
        <v>10160</v>
      </c>
      <c r="W51" t="s">
        <v>625</v>
      </c>
    </row>
    <row r="52" spans="1:23">
      <c r="A52" s="121">
        <f t="shared" si="0"/>
        <v>51</v>
      </c>
      <c r="B52">
        <f>YEAR(Table8[[#This Row],[Date]])+IF(MONTH(Table8[[#This Row],[Date]])&gt;=4,1,0)</f>
        <v>2026</v>
      </c>
      <c r="C52" s="121">
        <f>YEAR(Table6[[#This Row],[Date]])</f>
        <v>2025</v>
      </c>
      <c r="D52" s="121" t="s">
        <v>461</v>
      </c>
      <c r="E52" s="135">
        <f>Table8[[#This Row],[Date]]-DAY(Table8[[#This Row],[Date]])+1</f>
        <v>45839</v>
      </c>
      <c r="F52" s="134">
        <v>45843</v>
      </c>
      <c r="G52" t="s">
        <v>618</v>
      </c>
      <c r="H52" t="s">
        <v>484</v>
      </c>
      <c r="I52" t="s">
        <v>485</v>
      </c>
      <c r="J52" s="345">
        <f>IFERROR(_xlfn.XLOOKUP(Table8[[#This Row],[Affected Feeder ]],'Basic Data'!$A:$A,'Basic Data'!$E:$E),"")</f>
        <v>0.23076923076923078</v>
      </c>
      <c r="K52" t="s">
        <v>1332</v>
      </c>
      <c r="L52" s="346">
        <v>0.48194444444444445</v>
      </c>
      <c r="M52" s="346">
        <v>0.48194444444444445</v>
      </c>
      <c r="N52" s="346">
        <v>0.53749999999999998</v>
      </c>
      <c r="O52" s="111">
        <f>(Table8[[#This Row],[Work Start TimeStamp]]-Table8[[#This Row],[Fault Start TimeStamp]])*24</f>
        <v>0</v>
      </c>
      <c r="P52" s="111">
        <f>IF(Table8[[#This Row],[Work Start TimeStamp]]="","",(Table8[[#This Row],[Fault Clearance time]]-Table8[[#This Row],[Work Start TimeStamp]])*24)</f>
        <v>1.3333333333333326</v>
      </c>
      <c r="Q52" s="111">
        <f>(Table8[[#This Row],[Fault Clearance time]]-Table8[[#This Row],[Fault Start TimeStamp]])*24</f>
        <v>1.3333333333333326</v>
      </c>
      <c r="R52" t="s">
        <v>639</v>
      </c>
      <c r="S52" t="s">
        <v>463</v>
      </c>
      <c r="T52" s="146">
        <f>IFERROR(Table8[[#This Row],[Breakdown Time]]*Table8[[#This Row],[Plant Equivalent Weightage]],"")</f>
        <v>0.30769230769230754</v>
      </c>
      <c r="U52" t="s">
        <v>469</v>
      </c>
      <c r="V52" s="123">
        <v>9600</v>
      </c>
      <c r="W52" t="s">
        <v>621</v>
      </c>
    </row>
    <row r="53" spans="1:23">
      <c r="A53" s="121">
        <f t="shared" si="0"/>
        <v>52</v>
      </c>
      <c r="B53">
        <f>YEAR(Table8[[#This Row],[Date]])+IF(MONTH(Table8[[#This Row],[Date]])&gt;=4,1,0)</f>
        <v>2026</v>
      </c>
      <c r="C53" s="121">
        <f>YEAR(Table6[[#This Row],[Date]])</f>
        <v>2025</v>
      </c>
      <c r="D53" s="121" t="s">
        <v>461</v>
      </c>
      <c r="E53" s="135">
        <f>Table8[[#This Row],[Date]]-DAY(Table8[[#This Row],[Date]])+1</f>
        <v>45839</v>
      </c>
      <c r="F53" s="134">
        <v>45843</v>
      </c>
      <c r="G53" t="s">
        <v>619</v>
      </c>
      <c r="H53" t="s">
        <v>484</v>
      </c>
      <c r="I53" t="s">
        <v>485</v>
      </c>
      <c r="J53" s="345">
        <f>IFERROR(_xlfn.XLOOKUP(Table8[[#This Row],[Affected Feeder ]],'Basic Data'!$A:$A,'Basic Data'!$E:$E),"")</f>
        <v>0.25641025641025639</v>
      </c>
      <c r="K53" t="s">
        <v>1332</v>
      </c>
      <c r="L53" s="346">
        <v>0.48194444444444445</v>
      </c>
      <c r="M53" s="346">
        <v>0.48194444444444445</v>
      </c>
      <c r="N53" s="346">
        <v>0.53749999999999998</v>
      </c>
      <c r="O53" s="111">
        <f>(Table8[[#This Row],[Work Start TimeStamp]]-Table8[[#This Row],[Fault Start TimeStamp]])*24</f>
        <v>0</v>
      </c>
      <c r="P53" s="111">
        <f>IF(Table8[[#This Row],[Work Start TimeStamp]]="","",(Table8[[#This Row],[Fault Clearance time]]-Table8[[#This Row],[Work Start TimeStamp]])*24)</f>
        <v>1.3333333333333326</v>
      </c>
      <c r="Q53" s="111">
        <f>(Table8[[#This Row],[Fault Clearance time]]-Table8[[#This Row],[Fault Start TimeStamp]])*24</f>
        <v>1.3333333333333326</v>
      </c>
      <c r="R53" t="s">
        <v>639</v>
      </c>
      <c r="S53" t="s">
        <v>463</v>
      </c>
      <c r="T53" s="146">
        <f>IFERROR(Table8[[#This Row],[Breakdown Time]]*Table8[[#This Row],[Plant Equivalent Weightage]],"")</f>
        <v>0.34188034188034166</v>
      </c>
      <c r="U53" t="s">
        <v>469</v>
      </c>
      <c r="V53" s="123">
        <v>10667</v>
      </c>
      <c r="W53" t="s">
        <v>621</v>
      </c>
    </row>
    <row r="54" spans="1:23">
      <c r="A54" s="121">
        <f t="shared" si="0"/>
        <v>53</v>
      </c>
      <c r="B54">
        <f>YEAR(Table8[[#This Row],[Date]])+IF(MONTH(Table8[[#This Row],[Date]])&gt;=4,1,0)</f>
        <v>2026</v>
      </c>
      <c r="C54" s="121">
        <f>YEAR(Table6[[#This Row],[Date]])</f>
        <v>2025</v>
      </c>
      <c r="D54" s="121" t="s">
        <v>461</v>
      </c>
      <c r="E54" s="135">
        <f>Table8[[#This Row],[Date]]-DAY(Table8[[#This Row],[Date]])+1</f>
        <v>45839</v>
      </c>
      <c r="F54" s="134">
        <v>45845</v>
      </c>
      <c r="G54" t="s">
        <v>620</v>
      </c>
      <c r="H54" t="s">
        <v>484</v>
      </c>
      <c r="I54" t="s">
        <v>485</v>
      </c>
      <c r="J54" s="345">
        <f>IFERROR(_xlfn.XLOOKUP(Table8[[#This Row],[Affected Feeder ]],'Basic Data'!$A:$A,'Basic Data'!$E:$E),"")</f>
        <v>0.25641025641025639</v>
      </c>
      <c r="K54" t="s">
        <v>1337</v>
      </c>
      <c r="L54" s="346">
        <v>0.55902777777777779</v>
      </c>
      <c r="M54" s="346">
        <v>0.55902777777777779</v>
      </c>
      <c r="N54" s="346">
        <v>0.56944444444444442</v>
      </c>
      <c r="O54" s="111">
        <f>(Table8[[#This Row],[Work Start TimeStamp]]-Table8[[#This Row],[Fault Start TimeStamp]])*24</f>
        <v>0</v>
      </c>
      <c r="P54" s="111">
        <f>IF(Table8[[#This Row],[Work Start TimeStamp]]="","",(Table8[[#This Row],[Fault Clearance time]]-Table8[[#This Row],[Work Start TimeStamp]])*24)</f>
        <v>0.24999999999999911</v>
      </c>
      <c r="Q54" s="111">
        <f>(Table8[[#This Row],[Fault Clearance time]]-Table8[[#This Row],[Fault Start TimeStamp]])*24</f>
        <v>0.24999999999999911</v>
      </c>
      <c r="R54" t="s">
        <v>1338</v>
      </c>
      <c r="S54" t="s">
        <v>463</v>
      </c>
      <c r="T54" s="146">
        <f>IFERROR(Table8[[#This Row],[Breakdown Time]]*Table8[[#This Row],[Plant Equivalent Weightage]],"")</f>
        <v>6.4102564102563875E-2</v>
      </c>
      <c r="U54" t="s">
        <v>469</v>
      </c>
      <c r="V54" s="123">
        <v>838</v>
      </c>
      <c r="W54" t="s">
        <v>625</v>
      </c>
    </row>
    <row r="55" spans="1:23">
      <c r="A55" s="121">
        <f t="shared" si="0"/>
        <v>54</v>
      </c>
      <c r="B55">
        <f>YEAR(Table8[[#This Row],[Date]])+IF(MONTH(Table8[[#This Row],[Date]])&gt;=4,1,0)</f>
        <v>2026</v>
      </c>
      <c r="C55" s="121">
        <f>YEAR(Table6[[#This Row],[Date]])</f>
        <v>2025</v>
      </c>
      <c r="D55" s="121" t="s">
        <v>461</v>
      </c>
      <c r="E55" s="135">
        <f>Table8[[#This Row],[Date]]-DAY(Table8[[#This Row],[Date]])+1</f>
        <v>45839</v>
      </c>
      <c r="F55" s="134">
        <v>45846</v>
      </c>
      <c r="G55" t="s">
        <v>631</v>
      </c>
      <c r="H55" t="s">
        <v>484</v>
      </c>
      <c r="I55" t="s">
        <v>485</v>
      </c>
      <c r="J55" s="345">
        <f>IFERROR(_xlfn.XLOOKUP(Table8[[#This Row],[Affected Feeder ]],'Basic Data'!$A:$A,'Basic Data'!$E:$E),"")</f>
        <v>0.12820512820512819</v>
      </c>
      <c r="K55" t="s">
        <v>1332</v>
      </c>
      <c r="L55" s="346">
        <v>0.5625</v>
      </c>
      <c r="M55" s="346">
        <v>0.5625</v>
      </c>
      <c r="N55" s="346">
        <v>0.59027777777777779</v>
      </c>
      <c r="O55" s="111">
        <f>(Table8[[#This Row],[Work Start TimeStamp]]-Table8[[#This Row],[Fault Start TimeStamp]])*24</f>
        <v>0</v>
      </c>
      <c r="P55" s="111">
        <f>IF(Table8[[#This Row],[Work Start TimeStamp]]="","",(Table8[[#This Row],[Fault Clearance time]]-Table8[[#This Row],[Work Start TimeStamp]])*24)</f>
        <v>0.66666666666666696</v>
      </c>
      <c r="Q55" s="111">
        <f>(Table8[[#This Row],[Fault Clearance time]]-Table8[[#This Row],[Fault Start TimeStamp]])*24</f>
        <v>0.66666666666666696</v>
      </c>
      <c r="R55" t="s">
        <v>639</v>
      </c>
      <c r="S55" t="s">
        <v>463</v>
      </c>
      <c r="T55" s="146">
        <f>IFERROR(Table8[[#This Row],[Breakdown Time]]*Table8[[#This Row],[Plant Equivalent Weightage]],"")</f>
        <v>8.54700854700855E-2</v>
      </c>
      <c r="U55" t="s">
        <v>469</v>
      </c>
      <c r="V55" s="123">
        <v>5191.6666666666661</v>
      </c>
      <c r="W55" t="s">
        <v>621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topRight" activeCell="G1" sqref="G1"/>
      <selection pane="bottomLeft" activeCell="A2" sqref="A2"/>
      <selection pane="bottomRight" activeCell="F3" sqref="F3"/>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40" t="s">
        <v>7</v>
      </c>
      <c r="B1" s="340" t="s">
        <v>3</v>
      </c>
      <c r="C1" s="340" t="s">
        <v>74</v>
      </c>
      <c r="D1" s="340" t="s">
        <v>440</v>
      </c>
      <c r="E1" s="340" t="s">
        <v>385</v>
      </c>
      <c r="F1" s="342" t="s">
        <v>73</v>
      </c>
      <c r="G1" s="340" t="s">
        <v>615</v>
      </c>
      <c r="H1" s="340" t="s">
        <v>442</v>
      </c>
      <c r="I1" s="340" t="s">
        <v>443</v>
      </c>
      <c r="J1" s="340" t="s">
        <v>444</v>
      </c>
      <c r="K1" s="340" t="s">
        <v>447</v>
      </c>
      <c r="L1" s="340" t="s">
        <v>1275</v>
      </c>
      <c r="M1" s="340" t="s">
        <v>448</v>
      </c>
      <c r="N1" s="340" t="s">
        <v>449</v>
      </c>
      <c r="O1" s="340" t="s">
        <v>450</v>
      </c>
      <c r="P1" s="340" t="s">
        <v>451</v>
      </c>
      <c r="Q1" s="340" t="s">
        <v>452</v>
      </c>
      <c r="R1" s="340" t="s">
        <v>453</v>
      </c>
      <c r="S1" s="340" t="s">
        <v>454</v>
      </c>
      <c r="T1" s="340" t="s">
        <v>455</v>
      </c>
      <c r="U1" s="343" t="s">
        <v>456</v>
      </c>
      <c r="V1" s="343" t="s">
        <v>458</v>
      </c>
      <c r="W1" s="24" t="s">
        <v>457</v>
      </c>
      <c r="X1" s="344" t="s">
        <v>1273</v>
      </c>
      <c r="Y1" s="344" t="s">
        <v>1276</v>
      </c>
      <c r="Z1" s="344" t="s">
        <v>1277</v>
      </c>
      <c r="AA1" s="344" t="s">
        <v>459</v>
      </c>
      <c r="AB1" s="344" t="s">
        <v>460</v>
      </c>
    </row>
    <row r="2" spans="1:28">
      <c r="A2" s="121">
        <v>1</v>
      </c>
      <c r="B2" s="121">
        <f>YEAR(Table9[[#This Row],[Date]])+IF(MONTH(Table9[[#This Row],[Date]])&gt;=4,1,0)</f>
        <v>2023</v>
      </c>
      <c r="C2" s="121">
        <v>2025</v>
      </c>
      <c r="D2" s="121" t="s">
        <v>461</v>
      </c>
      <c r="E2" s="135">
        <f>Table9[[#This Row],[Date]]-DAY(Table9[[#This Row],[Date]])+1</f>
        <v>44958</v>
      </c>
      <c r="F2" s="134">
        <v>44958</v>
      </c>
      <c r="G2" t="s">
        <v>648</v>
      </c>
      <c r="H2" t="str">
        <f>IFERROR(_xlfn.XLOOKUP(Table9[[#This Row],[Affected Feeder ]],'Basic Data'!$A:$A,'Basic Data'!$B:$B),"")</f>
        <v>PWEGPL</v>
      </c>
      <c r="I2" t="str">
        <f>IFERROR(_xlfn.XLOOKUP(Table9[[#This Row],[Affected Feeder ]],'Basic Data'!$A:$A,'Basic Data'!$C:$C),"")</f>
        <v>MSEDCL</v>
      </c>
      <c r="J2" s="347">
        <f>IFERROR(_xlfn.XLOOKUP(Table9[[#This Row],[Affected Feeder ]],'Basic Data'!$A:$A,'Basic Data'!$E:$E),"")</f>
        <v>1</v>
      </c>
      <c r="K2" t="s">
        <v>649</v>
      </c>
      <c r="M2" s="348">
        <v>0.73125000000000007</v>
      </c>
      <c r="N2" s="349">
        <v>0.73472222222222217</v>
      </c>
      <c r="O2" s="349">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50" t="s">
        <v>650</v>
      </c>
      <c r="T2" s="1" t="s">
        <v>463</v>
      </c>
      <c r="U2" s="351">
        <f>IFERROR(Table9[[#This Row],[Breakdown Time]]*Table9[[#This Row],[Plant Equivalent Weightage]],"")</f>
        <v>0.81666666666666643</v>
      </c>
      <c r="V2" s="351"/>
      <c r="W2" s="351"/>
      <c r="Z2" s="166">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I395" workbookViewId="0">
      <selection activeCell="U8" sqref="U8"/>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1269</v>
      </c>
      <c r="T1">
        <v>100</v>
      </c>
      <c r="U1" t="s">
        <v>257</v>
      </c>
      <c r="W1" s="405" t="s">
        <v>458</v>
      </c>
      <c r="X1" s="406"/>
      <c r="Y1" s="406"/>
    </row>
    <row r="2" spans="1:25" ht="15.75" thickBot="1">
      <c r="B2" t="s">
        <v>717</v>
      </c>
      <c r="C2" t="s">
        <v>718</v>
      </c>
      <c r="D2" t="s">
        <v>719</v>
      </c>
      <c r="E2" t="s">
        <v>720</v>
      </c>
      <c r="F2" t="s">
        <v>721</v>
      </c>
      <c r="G2" t="s">
        <v>722</v>
      </c>
      <c r="H2" t="s">
        <v>161</v>
      </c>
      <c r="I2" t="s">
        <v>723</v>
      </c>
      <c r="P2" s="341" t="s">
        <v>1270</v>
      </c>
      <c r="T2">
        <v>101</v>
      </c>
      <c r="U2" t="s">
        <v>724</v>
      </c>
      <c r="W2" s="338" t="s">
        <v>464</v>
      </c>
      <c r="X2" s="338" t="s">
        <v>469</v>
      </c>
      <c r="Y2" s="338" t="s">
        <v>1007</v>
      </c>
    </row>
    <row r="3" spans="1:25" ht="15.75" thickBot="1">
      <c r="A3" t="s">
        <v>115</v>
      </c>
      <c r="B3" s="22" t="s">
        <v>484</v>
      </c>
      <c r="C3" t="s">
        <v>485</v>
      </c>
      <c r="D3" s="1">
        <v>2</v>
      </c>
      <c r="E3" s="23">
        <f>D3/$K$3</f>
        <v>2.564102564102564E-2</v>
      </c>
      <c r="F3" t="s">
        <v>618</v>
      </c>
      <c r="G3" s="87" t="s">
        <v>725</v>
      </c>
      <c r="H3" t="s">
        <v>115</v>
      </c>
      <c r="J3" t="s">
        <v>726</v>
      </c>
      <c r="K3" s="1">
        <v>78</v>
      </c>
      <c r="N3" t="s">
        <v>473</v>
      </c>
      <c r="P3" s="341" t="s">
        <v>230</v>
      </c>
      <c r="T3">
        <v>102</v>
      </c>
      <c r="U3" t="s">
        <v>195</v>
      </c>
      <c r="W3" s="338" t="s">
        <v>465</v>
      </c>
      <c r="X3" s="338" t="s">
        <v>470</v>
      </c>
      <c r="Y3" s="338" t="s">
        <v>1008</v>
      </c>
    </row>
    <row r="4" spans="1:25" ht="15.75" thickBot="1">
      <c r="A4" t="s">
        <v>116</v>
      </c>
      <c r="B4" s="22" t="s">
        <v>484</v>
      </c>
      <c r="C4" t="s">
        <v>485</v>
      </c>
      <c r="D4" s="1">
        <v>2</v>
      </c>
      <c r="E4" s="23">
        <f t="shared" ref="E4:E56" si="0">D4/$K$3</f>
        <v>2.564102564102564E-2</v>
      </c>
      <c r="F4" t="s">
        <v>618</v>
      </c>
      <c r="G4" s="87" t="s">
        <v>725</v>
      </c>
      <c r="H4" t="s">
        <v>116</v>
      </c>
      <c r="N4" t="s">
        <v>463</v>
      </c>
      <c r="P4" s="341" t="s">
        <v>1271</v>
      </c>
      <c r="T4">
        <v>103</v>
      </c>
      <c r="U4" t="s">
        <v>190</v>
      </c>
      <c r="W4" s="338" t="s">
        <v>467</v>
      </c>
      <c r="X4" s="338" t="s">
        <v>471</v>
      </c>
      <c r="Y4" s="338" t="s">
        <v>1009</v>
      </c>
    </row>
    <row r="5" spans="1:25" ht="15.75" thickBot="1">
      <c r="A5" t="s">
        <v>117</v>
      </c>
      <c r="B5" s="22" t="s">
        <v>484</v>
      </c>
      <c r="C5" t="s">
        <v>485</v>
      </c>
      <c r="D5" s="1">
        <v>2</v>
      </c>
      <c r="E5" s="23">
        <f t="shared" si="0"/>
        <v>2.564102564102564E-2</v>
      </c>
      <c r="F5" t="s">
        <v>618</v>
      </c>
      <c r="G5" s="87" t="s">
        <v>725</v>
      </c>
      <c r="H5" t="s">
        <v>117</v>
      </c>
      <c r="T5">
        <v>104</v>
      </c>
      <c r="U5" t="s">
        <v>296</v>
      </c>
      <c r="W5" s="338" t="s">
        <v>1006</v>
      </c>
      <c r="X5" s="338" t="s">
        <v>1210</v>
      </c>
      <c r="Y5" s="338" t="s">
        <v>1211</v>
      </c>
    </row>
    <row r="6" spans="1:25" ht="15.75" thickBot="1">
      <c r="A6" t="s">
        <v>118</v>
      </c>
      <c r="B6" s="22" t="s">
        <v>484</v>
      </c>
      <c r="C6" t="s">
        <v>485</v>
      </c>
      <c r="D6" s="1">
        <v>2</v>
      </c>
      <c r="E6" s="23">
        <f t="shared" si="0"/>
        <v>2.564102564102564E-2</v>
      </c>
      <c r="F6" t="s">
        <v>618</v>
      </c>
      <c r="G6" s="87" t="s">
        <v>725</v>
      </c>
      <c r="H6" t="s">
        <v>118</v>
      </c>
      <c r="T6">
        <v>105</v>
      </c>
      <c r="U6" t="s">
        <v>727</v>
      </c>
      <c r="W6" s="338" t="s">
        <v>1212</v>
      </c>
    </row>
    <row r="7" spans="1:25">
      <c r="A7" t="s">
        <v>119</v>
      </c>
      <c r="B7" s="22" t="s">
        <v>484</v>
      </c>
      <c r="C7" t="s">
        <v>485</v>
      </c>
      <c r="D7" s="1">
        <v>2</v>
      </c>
      <c r="E7" s="23">
        <f t="shared" si="0"/>
        <v>2.564102564102564E-2</v>
      </c>
      <c r="F7" t="s">
        <v>620</v>
      </c>
      <c r="G7" s="87" t="s">
        <v>728</v>
      </c>
      <c r="H7" t="s">
        <v>119</v>
      </c>
      <c r="T7">
        <v>106</v>
      </c>
      <c r="U7" t="s">
        <v>729</v>
      </c>
    </row>
    <row r="8" spans="1:25">
      <c r="A8" t="s">
        <v>120</v>
      </c>
      <c r="B8" s="22" t="s">
        <v>484</v>
      </c>
      <c r="C8" t="s">
        <v>485</v>
      </c>
      <c r="D8" s="1">
        <v>2</v>
      </c>
      <c r="E8" s="23">
        <f t="shared" si="0"/>
        <v>2.564102564102564E-2</v>
      </c>
      <c r="F8" t="s">
        <v>618</v>
      </c>
      <c r="G8" s="87" t="s">
        <v>725</v>
      </c>
      <c r="H8" t="s">
        <v>120</v>
      </c>
      <c r="T8">
        <v>107</v>
      </c>
      <c r="U8" t="s">
        <v>256</v>
      </c>
    </row>
    <row r="9" spans="1:25">
      <c r="A9" t="s">
        <v>121</v>
      </c>
      <c r="B9" s="22" t="s">
        <v>484</v>
      </c>
      <c r="C9" t="s">
        <v>485</v>
      </c>
      <c r="D9" s="1">
        <v>2</v>
      </c>
      <c r="E9" s="23">
        <f t="shared" si="0"/>
        <v>2.564102564102564E-2</v>
      </c>
      <c r="F9" t="s">
        <v>618</v>
      </c>
      <c r="G9" s="87" t="s">
        <v>725</v>
      </c>
      <c r="H9" t="s">
        <v>121</v>
      </c>
      <c r="T9">
        <v>108</v>
      </c>
      <c r="U9" t="s">
        <v>185</v>
      </c>
    </row>
    <row r="10" spans="1:25">
      <c r="A10" t="s">
        <v>122</v>
      </c>
      <c r="B10" s="22" t="s">
        <v>484</v>
      </c>
      <c r="C10" t="s">
        <v>485</v>
      </c>
      <c r="D10" s="1">
        <v>2</v>
      </c>
      <c r="E10" s="23">
        <f t="shared" si="0"/>
        <v>2.564102564102564E-2</v>
      </c>
      <c r="F10" t="s">
        <v>618</v>
      </c>
      <c r="G10" s="87" t="s">
        <v>725</v>
      </c>
      <c r="H10" t="s">
        <v>122</v>
      </c>
      <c r="T10">
        <v>110</v>
      </c>
      <c r="U10" t="s">
        <v>255</v>
      </c>
    </row>
    <row r="11" spans="1:25">
      <c r="A11" t="s">
        <v>123</v>
      </c>
      <c r="B11" s="22" t="s">
        <v>484</v>
      </c>
      <c r="C11" t="s">
        <v>485</v>
      </c>
      <c r="D11" s="1">
        <v>2</v>
      </c>
      <c r="E11" s="23">
        <f t="shared" si="0"/>
        <v>2.564102564102564E-2</v>
      </c>
      <c r="F11" t="s">
        <v>619</v>
      </c>
      <c r="G11" s="87" t="s">
        <v>725</v>
      </c>
      <c r="H11" t="s">
        <v>123</v>
      </c>
      <c r="T11">
        <v>112</v>
      </c>
      <c r="U11" t="s">
        <v>730</v>
      </c>
    </row>
    <row r="12" spans="1:25">
      <c r="A12" t="s">
        <v>124</v>
      </c>
      <c r="B12" s="22" t="s">
        <v>484</v>
      </c>
      <c r="C12" t="s">
        <v>485</v>
      </c>
      <c r="D12" s="1">
        <v>2</v>
      </c>
      <c r="E12" s="23">
        <f t="shared" si="0"/>
        <v>2.564102564102564E-2</v>
      </c>
      <c r="F12" t="s">
        <v>618</v>
      </c>
      <c r="G12" s="87" t="s">
        <v>725</v>
      </c>
      <c r="H12" t="s">
        <v>124</v>
      </c>
      <c r="T12">
        <v>114</v>
      </c>
      <c r="U12" t="s">
        <v>731</v>
      </c>
    </row>
    <row r="13" spans="1:25">
      <c r="A13" t="s">
        <v>125</v>
      </c>
      <c r="B13" s="22" t="s">
        <v>484</v>
      </c>
      <c r="C13" t="s">
        <v>485</v>
      </c>
      <c r="D13" s="1">
        <v>2</v>
      </c>
      <c r="E13" s="23">
        <f t="shared" si="0"/>
        <v>2.564102564102564E-2</v>
      </c>
      <c r="F13" t="s">
        <v>618</v>
      </c>
      <c r="G13" s="87" t="s">
        <v>725</v>
      </c>
      <c r="H13" t="s">
        <v>125</v>
      </c>
      <c r="T13">
        <v>115</v>
      </c>
      <c r="U13" t="s">
        <v>221</v>
      </c>
    </row>
    <row r="14" spans="1:25">
      <c r="A14" t="s">
        <v>126</v>
      </c>
      <c r="B14" s="22" t="s">
        <v>484</v>
      </c>
      <c r="C14" t="s">
        <v>485</v>
      </c>
      <c r="D14" s="1">
        <v>2</v>
      </c>
      <c r="E14" s="23">
        <f t="shared" si="0"/>
        <v>2.564102564102564E-2</v>
      </c>
      <c r="F14" t="s">
        <v>619</v>
      </c>
      <c r="G14" s="87" t="s">
        <v>725</v>
      </c>
      <c r="H14" t="s">
        <v>126</v>
      </c>
      <c r="T14">
        <v>116</v>
      </c>
      <c r="U14" t="s">
        <v>233</v>
      </c>
    </row>
    <row r="15" spans="1:25">
      <c r="A15" t="s">
        <v>127</v>
      </c>
      <c r="B15" s="22" t="s">
        <v>484</v>
      </c>
      <c r="C15" t="s">
        <v>485</v>
      </c>
      <c r="D15" s="1">
        <v>2</v>
      </c>
      <c r="E15" s="23">
        <f t="shared" si="0"/>
        <v>2.564102564102564E-2</v>
      </c>
      <c r="F15" t="s">
        <v>619</v>
      </c>
      <c r="G15" s="87" t="s">
        <v>725</v>
      </c>
      <c r="H15" t="s">
        <v>127</v>
      </c>
      <c r="T15">
        <v>117</v>
      </c>
      <c r="U15" t="s">
        <v>234</v>
      </c>
    </row>
    <row r="16" spans="1:25">
      <c r="A16" t="s">
        <v>128</v>
      </c>
      <c r="B16" s="22" t="s">
        <v>484</v>
      </c>
      <c r="C16" t="s">
        <v>485</v>
      </c>
      <c r="D16" s="1">
        <v>2</v>
      </c>
      <c r="E16" s="23">
        <f t="shared" si="0"/>
        <v>2.564102564102564E-2</v>
      </c>
      <c r="F16" t="s">
        <v>619</v>
      </c>
      <c r="G16" s="87" t="s">
        <v>725</v>
      </c>
      <c r="H16" t="s">
        <v>128</v>
      </c>
      <c r="T16">
        <v>118</v>
      </c>
      <c r="U16" t="s">
        <v>253</v>
      </c>
    </row>
    <row r="17" spans="1:21">
      <c r="A17" t="s">
        <v>129</v>
      </c>
      <c r="B17" s="22" t="s">
        <v>484</v>
      </c>
      <c r="C17" t="s">
        <v>485</v>
      </c>
      <c r="D17" s="1">
        <v>2</v>
      </c>
      <c r="E17" s="23">
        <f t="shared" si="0"/>
        <v>2.564102564102564E-2</v>
      </c>
      <c r="F17" t="s">
        <v>619</v>
      </c>
      <c r="G17" s="87" t="s">
        <v>725</v>
      </c>
      <c r="H17" t="s">
        <v>129</v>
      </c>
      <c r="T17">
        <v>119</v>
      </c>
      <c r="U17" t="s">
        <v>252</v>
      </c>
    </row>
    <row r="18" spans="1:21">
      <c r="A18" t="s">
        <v>130</v>
      </c>
      <c r="B18" s="22" t="s">
        <v>484</v>
      </c>
      <c r="C18" t="s">
        <v>485</v>
      </c>
      <c r="D18" s="1">
        <v>2</v>
      </c>
      <c r="E18" s="23">
        <f t="shared" si="0"/>
        <v>2.564102564102564E-2</v>
      </c>
      <c r="F18" t="s">
        <v>619</v>
      </c>
      <c r="G18" s="87" t="s">
        <v>725</v>
      </c>
      <c r="H18" t="s">
        <v>130</v>
      </c>
      <c r="T18">
        <v>121</v>
      </c>
      <c r="U18" t="s">
        <v>732</v>
      </c>
    </row>
    <row r="19" spans="1:21">
      <c r="A19" t="s">
        <v>131</v>
      </c>
      <c r="B19" s="22" t="s">
        <v>484</v>
      </c>
      <c r="C19" t="s">
        <v>485</v>
      </c>
      <c r="D19" s="1">
        <v>2</v>
      </c>
      <c r="E19" s="23">
        <f t="shared" si="0"/>
        <v>2.564102564102564E-2</v>
      </c>
      <c r="F19" t="s">
        <v>619</v>
      </c>
      <c r="G19" s="87" t="s">
        <v>725</v>
      </c>
      <c r="H19" t="s">
        <v>131</v>
      </c>
      <c r="T19">
        <v>122</v>
      </c>
      <c r="U19" t="s">
        <v>733</v>
      </c>
    </row>
    <row r="20" spans="1:21">
      <c r="A20" t="s">
        <v>132</v>
      </c>
      <c r="B20" s="22" t="s">
        <v>484</v>
      </c>
      <c r="C20" t="s">
        <v>485</v>
      </c>
      <c r="D20" s="1">
        <v>2</v>
      </c>
      <c r="E20" s="23">
        <f t="shared" si="0"/>
        <v>2.564102564102564E-2</v>
      </c>
      <c r="F20" t="s">
        <v>619</v>
      </c>
      <c r="G20" s="87" t="s">
        <v>725</v>
      </c>
      <c r="H20" t="s">
        <v>132</v>
      </c>
      <c r="T20">
        <v>123</v>
      </c>
      <c r="U20" t="s">
        <v>734</v>
      </c>
    </row>
    <row r="21" spans="1:21">
      <c r="A21" t="s">
        <v>133</v>
      </c>
      <c r="B21" s="22" t="s">
        <v>484</v>
      </c>
      <c r="C21" t="s">
        <v>485</v>
      </c>
      <c r="D21" s="1">
        <v>2</v>
      </c>
      <c r="E21" s="23">
        <f t="shared" si="0"/>
        <v>2.564102564102564E-2</v>
      </c>
      <c r="F21" t="s">
        <v>619</v>
      </c>
      <c r="G21" s="87" t="s">
        <v>725</v>
      </c>
      <c r="H21" t="s">
        <v>133</v>
      </c>
      <c r="T21">
        <v>124</v>
      </c>
      <c r="U21" t="s">
        <v>735</v>
      </c>
    </row>
    <row r="22" spans="1:21">
      <c r="A22" t="s">
        <v>134</v>
      </c>
      <c r="B22" s="22" t="s">
        <v>484</v>
      </c>
      <c r="C22" t="s">
        <v>485</v>
      </c>
      <c r="D22" s="1">
        <v>2</v>
      </c>
      <c r="E22" s="23">
        <f t="shared" si="0"/>
        <v>2.564102564102564E-2</v>
      </c>
      <c r="F22" t="s">
        <v>619</v>
      </c>
      <c r="G22" s="87" t="s">
        <v>725</v>
      </c>
      <c r="H22" t="s">
        <v>134</v>
      </c>
      <c r="T22">
        <v>125</v>
      </c>
      <c r="U22" t="s">
        <v>254</v>
      </c>
    </row>
    <row r="23" spans="1:21">
      <c r="A23" t="s">
        <v>135</v>
      </c>
      <c r="B23" s="22" t="s">
        <v>484</v>
      </c>
      <c r="C23" t="s">
        <v>485</v>
      </c>
      <c r="D23" s="1">
        <v>2</v>
      </c>
      <c r="E23" s="23">
        <f t="shared" si="0"/>
        <v>2.564102564102564E-2</v>
      </c>
      <c r="F23" t="s">
        <v>620</v>
      </c>
      <c r="G23" s="87" t="s">
        <v>728</v>
      </c>
      <c r="H23" t="s">
        <v>135</v>
      </c>
      <c r="T23">
        <v>126</v>
      </c>
      <c r="U23" t="s">
        <v>736</v>
      </c>
    </row>
    <row r="24" spans="1:21">
      <c r="A24" t="s">
        <v>136</v>
      </c>
      <c r="B24" s="22" t="s">
        <v>484</v>
      </c>
      <c r="C24" t="s">
        <v>485</v>
      </c>
      <c r="D24" s="1">
        <v>2</v>
      </c>
      <c r="E24" s="23">
        <f t="shared" si="0"/>
        <v>2.564102564102564E-2</v>
      </c>
      <c r="F24" t="s">
        <v>620</v>
      </c>
      <c r="G24" s="87" t="s">
        <v>728</v>
      </c>
      <c r="H24" t="s">
        <v>136</v>
      </c>
      <c r="T24">
        <v>127</v>
      </c>
      <c r="U24" t="s">
        <v>737</v>
      </c>
    </row>
    <row r="25" spans="1:21">
      <c r="A25" t="s">
        <v>137</v>
      </c>
      <c r="B25" s="22" t="s">
        <v>484</v>
      </c>
      <c r="C25" t="s">
        <v>485</v>
      </c>
      <c r="D25" s="1">
        <v>2</v>
      </c>
      <c r="E25" s="23">
        <f t="shared" si="0"/>
        <v>2.564102564102564E-2</v>
      </c>
      <c r="F25" t="s">
        <v>620</v>
      </c>
      <c r="G25" s="87" t="s">
        <v>728</v>
      </c>
      <c r="H25" t="s">
        <v>137</v>
      </c>
      <c r="T25">
        <v>128</v>
      </c>
      <c r="U25" t="s">
        <v>738</v>
      </c>
    </row>
    <row r="26" spans="1:21">
      <c r="A26" t="s">
        <v>138</v>
      </c>
      <c r="B26" s="22" t="s">
        <v>484</v>
      </c>
      <c r="C26" t="s">
        <v>485</v>
      </c>
      <c r="D26" s="1">
        <v>2</v>
      </c>
      <c r="E26" s="23">
        <f t="shared" si="0"/>
        <v>2.564102564102564E-2</v>
      </c>
      <c r="F26" t="s">
        <v>620</v>
      </c>
      <c r="G26" s="87" t="s">
        <v>728</v>
      </c>
      <c r="H26" t="s">
        <v>138</v>
      </c>
      <c r="T26">
        <v>130</v>
      </c>
      <c r="U26" t="s">
        <v>739</v>
      </c>
    </row>
    <row r="27" spans="1:21">
      <c r="A27" t="s">
        <v>139</v>
      </c>
      <c r="B27" s="22" t="s">
        <v>484</v>
      </c>
      <c r="C27" t="s">
        <v>485</v>
      </c>
      <c r="D27" s="1">
        <v>2</v>
      </c>
      <c r="E27" s="23">
        <f t="shared" si="0"/>
        <v>2.564102564102564E-2</v>
      </c>
      <c r="F27" t="s">
        <v>617</v>
      </c>
      <c r="G27" s="87" t="s">
        <v>728</v>
      </c>
      <c r="H27" t="s">
        <v>139</v>
      </c>
      <c r="T27">
        <v>200</v>
      </c>
      <c r="U27" t="s">
        <v>274</v>
      </c>
    </row>
    <row r="28" spans="1:21">
      <c r="A28" t="s">
        <v>140</v>
      </c>
      <c r="B28" s="22" t="s">
        <v>484</v>
      </c>
      <c r="C28" t="s">
        <v>485</v>
      </c>
      <c r="D28" s="1">
        <v>2</v>
      </c>
      <c r="E28" s="23">
        <f t="shared" si="0"/>
        <v>2.564102564102564E-2</v>
      </c>
      <c r="F28" t="s">
        <v>620</v>
      </c>
      <c r="G28" s="87" t="s">
        <v>728</v>
      </c>
      <c r="H28" t="s">
        <v>140</v>
      </c>
      <c r="T28">
        <v>201</v>
      </c>
      <c r="U28" t="s">
        <v>231</v>
      </c>
    </row>
    <row r="29" spans="1:21">
      <c r="A29" t="s">
        <v>141</v>
      </c>
      <c r="B29" s="22" t="s">
        <v>484</v>
      </c>
      <c r="C29" t="s">
        <v>485</v>
      </c>
      <c r="D29" s="1">
        <v>2</v>
      </c>
      <c r="E29" s="23">
        <f t="shared" si="0"/>
        <v>2.564102564102564E-2</v>
      </c>
      <c r="F29" t="s">
        <v>620</v>
      </c>
      <c r="G29" s="87" t="s">
        <v>728</v>
      </c>
      <c r="H29" t="s">
        <v>141</v>
      </c>
      <c r="T29">
        <v>202</v>
      </c>
      <c r="U29" t="s">
        <v>270</v>
      </c>
    </row>
    <row r="30" spans="1:21">
      <c r="A30" t="s">
        <v>142</v>
      </c>
      <c r="B30" s="22" t="s">
        <v>484</v>
      </c>
      <c r="C30" t="s">
        <v>485</v>
      </c>
      <c r="D30" s="1">
        <v>2</v>
      </c>
      <c r="E30" s="23">
        <f t="shared" si="0"/>
        <v>2.564102564102564E-2</v>
      </c>
      <c r="F30" t="s">
        <v>620</v>
      </c>
      <c r="G30" s="87" t="s">
        <v>728</v>
      </c>
      <c r="H30" t="s">
        <v>142</v>
      </c>
      <c r="T30">
        <v>203</v>
      </c>
      <c r="U30" t="s">
        <v>227</v>
      </c>
    </row>
    <row r="31" spans="1:21">
      <c r="A31" t="s">
        <v>143</v>
      </c>
      <c r="B31" s="22" t="s">
        <v>484</v>
      </c>
      <c r="C31" t="s">
        <v>485</v>
      </c>
      <c r="D31" s="1">
        <v>2</v>
      </c>
      <c r="E31" s="23">
        <f t="shared" si="0"/>
        <v>2.564102564102564E-2</v>
      </c>
      <c r="F31" t="s">
        <v>620</v>
      </c>
      <c r="G31" s="87" t="s">
        <v>728</v>
      </c>
      <c r="H31" t="s">
        <v>143</v>
      </c>
      <c r="T31">
        <v>204</v>
      </c>
      <c r="U31" t="s">
        <v>260</v>
      </c>
    </row>
    <row r="32" spans="1:21">
      <c r="A32" t="s">
        <v>144</v>
      </c>
      <c r="B32" s="22" t="s">
        <v>484</v>
      </c>
      <c r="C32" t="s">
        <v>485</v>
      </c>
      <c r="D32" s="1">
        <v>2</v>
      </c>
      <c r="E32" s="23">
        <f t="shared" si="0"/>
        <v>2.564102564102564E-2</v>
      </c>
      <c r="F32" t="s">
        <v>620</v>
      </c>
      <c r="G32" s="87" t="s">
        <v>728</v>
      </c>
      <c r="H32" t="s">
        <v>144</v>
      </c>
      <c r="T32">
        <v>205</v>
      </c>
      <c r="U32" t="s">
        <v>224</v>
      </c>
    </row>
    <row r="33" spans="1:21">
      <c r="A33" t="s">
        <v>145</v>
      </c>
      <c r="B33" s="22" t="s">
        <v>484</v>
      </c>
      <c r="C33" t="s">
        <v>485</v>
      </c>
      <c r="D33" s="1">
        <v>2</v>
      </c>
      <c r="E33" s="23">
        <f t="shared" si="0"/>
        <v>2.564102564102564E-2</v>
      </c>
      <c r="F33" t="s">
        <v>617</v>
      </c>
      <c r="G33" s="87" t="s">
        <v>728</v>
      </c>
      <c r="H33" t="s">
        <v>145</v>
      </c>
      <c r="T33">
        <v>207</v>
      </c>
      <c r="U33" t="s">
        <v>223</v>
      </c>
    </row>
    <row r="34" spans="1:21">
      <c r="A34" t="s">
        <v>146</v>
      </c>
      <c r="B34" s="22" t="s">
        <v>484</v>
      </c>
      <c r="C34" t="s">
        <v>485</v>
      </c>
      <c r="D34" s="1">
        <v>2</v>
      </c>
      <c r="E34" s="23">
        <f t="shared" si="0"/>
        <v>2.564102564102564E-2</v>
      </c>
      <c r="F34" t="s">
        <v>617</v>
      </c>
      <c r="G34" s="87" t="s">
        <v>728</v>
      </c>
      <c r="H34" t="s">
        <v>146</v>
      </c>
      <c r="T34">
        <v>208</v>
      </c>
      <c r="U34" t="s">
        <v>222</v>
      </c>
    </row>
    <row r="35" spans="1:21">
      <c r="A35" t="s">
        <v>147</v>
      </c>
      <c r="B35" s="22" t="s">
        <v>484</v>
      </c>
      <c r="C35" t="s">
        <v>485</v>
      </c>
      <c r="D35" s="1">
        <v>2</v>
      </c>
      <c r="E35" s="23">
        <f t="shared" si="0"/>
        <v>2.564102564102564E-2</v>
      </c>
      <c r="F35" t="s">
        <v>617</v>
      </c>
      <c r="G35" s="87" t="s">
        <v>728</v>
      </c>
      <c r="H35" t="s">
        <v>147</v>
      </c>
      <c r="T35">
        <v>211</v>
      </c>
      <c r="U35" t="s">
        <v>740</v>
      </c>
    </row>
    <row r="36" spans="1:21">
      <c r="A36" t="s">
        <v>148</v>
      </c>
      <c r="B36" s="22" t="s">
        <v>484</v>
      </c>
      <c r="C36" t="s">
        <v>485</v>
      </c>
      <c r="D36" s="1">
        <v>2</v>
      </c>
      <c r="E36" s="23">
        <f t="shared" si="0"/>
        <v>2.564102564102564E-2</v>
      </c>
      <c r="F36" t="s">
        <v>617</v>
      </c>
      <c r="G36" s="87" t="s">
        <v>728</v>
      </c>
      <c r="H36" t="s">
        <v>148</v>
      </c>
      <c r="T36">
        <v>212</v>
      </c>
      <c r="U36" t="s">
        <v>741</v>
      </c>
    </row>
    <row r="37" spans="1:21">
      <c r="A37" t="s">
        <v>149</v>
      </c>
      <c r="B37" s="22" t="s">
        <v>484</v>
      </c>
      <c r="C37" t="s">
        <v>485</v>
      </c>
      <c r="D37" s="1">
        <v>2</v>
      </c>
      <c r="E37" s="23">
        <f t="shared" si="0"/>
        <v>2.564102564102564E-2</v>
      </c>
      <c r="F37" t="s">
        <v>617</v>
      </c>
      <c r="G37" s="87" t="s">
        <v>728</v>
      </c>
      <c r="H37" t="s">
        <v>149</v>
      </c>
      <c r="T37">
        <v>213</v>
      </c>
      <c r="U37" t="s">
        <v>294</v>
      </c>
    </row>
    <row r="38" spans="1:21">
      <c r="A38" t="s">
        <v>150</v>
      </c>
      <c r="B38" s="22" t="s">
        <v>484</v>
      </c>
      <c r="C38" t="s">
        <v>485</v>
      </c>
      <c r="D38" s="1">
        <v>2</v>
      </c>
      <c r="E38" s="23">
        <f t="shared" si="0"/>
        <v>2.564102564102564E-2</v>
      </c>
      <c r="F38" t="s">
        <v>617</v>
      </c>
      <c r="G38" s="87" t="s">
        <v>728</v>
      </c>
      <c r="H38" t="s">
        <v>150</v>
      </c>
      <c r="T38">
        <v>214</v>
      </c>
      <c r="U38" t="s">
        <v>742</v>
      </c>
    </row>
    <row r="39" spans="1:21">
      <c r="A39" t="s">
        <v>151</v>
      </c>
      <c r="B39" s="22" t="s">
        <v>484</v>
      </c>
      <c r="C39" t="s">
        <v>485</v>
      </c>
      <c r="D39" s="1">
        <v>2</v>
      </c>
      <c r="E39" s="23">
        <f t="shared" si="0"/>
        <v>2.564102564102564E-2</v>
      </c>
      <c r="F39" t="s">
        <v>617</v>
      </c>
      <c r="G39" s="87" t="s">
        <v>728</v>
      </c>
      <c r="H39" t="s">
        <v>151</v>
      </c>
      <c r="T39">
        <v>217</v>
      </c>
      <c r="U39" t="s">
        <v>743</v>
      </c>
    </row>
    <row r="40" spans="1:21">
      <c r="A40" t="s">
        <v>152</v>
      </c>
      <c r="B40" s="22" t="s">
        <v>484</v>
      </c>
      <c r="C40" t="s">
        <v>485</v>
      </c>
      <c r="D40" s="1">
        <v>2</v>
      </c>
      <c r="E40" s="23">
        <f t="shared" si="0"/>
        <v>2.564102564102564E-2</v>
      </c>
      <c r="F40" t="s">
        <v>617</v>
      </c>
      <c r="G40" s="87" t="s">
        <v>728</v>
      </c>
      <c r="H40" t="s">
        <v>152</v>
      </c>
      <c r="T40">
        <v>218</v>
      </c>
      <c r="U40" t="s">
        <v>744</v>
      </c>
    </row>
    <row r="41" spans="1:21">
      <c r="A41" t="s">
        <v>153</v>
      </c>
      <c r="B41" s="22" t="s">
        <v>484</v>
      </c>
      <c r="C41" t="s">
        <v>485</v>
      </c>
      <c r="D41" s="1">
        <v>2</v>
      </c>
      <c r="E41" s="23">
        <f t="shared" si="0"/>
        <v>2.564102564102564E-2</v>
      </c>
      <c r="F41" t="s">
        <v>617</v>
      </c>
      <c r="G41" s="87" t="s">
        <v>728</v>
      </c>
      <c r="H41" t="s">
        <v>153</v>
      </c>
      <c r="T41">
        <v>219</v>
      </c>
      <c r="U41" t="s">
        <v>745</v>
      </c>
    </row>
    <row r="42" spans="1:21">
      <c r="A42" t="s">
        <v>617</v>
      </c>
      <c r="B42" s="22" t="s">
        <v>484</v>
      </c>
      <c r="C42" t="s">
        <v>485</v>
      </c>
      <c r="D42" s="1">
        <v>20</v>
      </c>
      <c r="E42" s="23">
        <f t="shared" si="0"/>
        <v>0.25641025641025639</v>
      </c>
      <c r="T42">
        <v>221</v>
      </c>
      <c r="U42" t="s">
        <v>302</v>
      </c>
    </row>
    <row r="43" spans="1:21">
      <c r="A43" t="s">
        <v>629</v>
      </c>
      <c r="B43" s="22" t="s">
        <v>484</v>
      </c>
      <c r="C43" t="s">
        <v>485</v>
      </c>
      <c r="D43" s="1">
        <v>10</v>
      </c>
      <c r="E43" s="23">
        <f t="shared" si="0"/>
        <v>0.12820512820512819</v>
      </c>
    </row>
    <row r="44" spans="1:21">
      <c r="A44" t="s">
        <v>631</v>
      </c>
      <c r="B44" s="22" t="s">
        <v>484</v>
      </c>
      <c r="C44" t="s">
        <v>485</v>
      </c>
      <c r="D44" s="1">
        <v>10</v>
      </c>
      <c r="E44" s="23">
        <f t="shared" si="0"/>
        <v>0.12820512820512819</v>
      </c>
    </row>
    <row r="45" spans="1:21">
      <c r="A45" t="s">
        <v>620</v>
      </c>
      <c r="B45" s="22" t="s">
        <v>484</v>
      </c>
      <c r="C45" t="s">
        <v>485</v>
      </c>
      <c r="D45" s="1">
        <v>20</v>
      </c>
      <c r="E45" s="23">
        <f t="shared" si="0"/>
        <v>0.25641025641025639</v>
      </c>
      <c r="T45">
        <v>222</v>
      </c>
      <c r="U45" t="s">
        <v>248</v>
      </c>
    </row>
    <row r="46" spans="1:21">
      <c r="A46" t="s">
        <v>628</v>
      </c>
      <c r="B46" s="22" t="s">
        <v>484</v>
      </c>
      <c r="C46" t="s">
        <v>485</v>
      </c>
      <c r="D46" s="1">
        <v>8</v>
      </c>
      <c r="E46" s="23">
        <f t="shared" si="0"/>
        <v>0.10256410256410256</v>
      </c>
    </row>
    <row r="47" spans="1:21">
      <c r="A47" t="s">
        <v>630</v>
      </c>
      <c r="B47" s="22" t="s">
        <v>484</v>
      </c>
      <c r="C47" t="s">
        <v>485</v>
      </c>
      <c r="D47" s="1">
        <v>12</v>
      </c>
      <c r="E47" s="23">
        <f t="shared" si="0"/>
        <v>0.15384615384615385</v>
      </c>
    </row>
    <row r="48" spans="1:21">
      <c r="A48" t="s">
        <v>618</v>
      </c>
      <c r="B48" s="22" t="s">
        <v>484</v>
      </c>
      <c r="C48" t="s">
        <v>485</v>
      </c>
      <c r="D48" s="1">
        <v>18</v>
      </c>
      <c r="E48" s="23">
        <f t="shared" si="0"/>
        <v>0.23076923076923078</v>
      </c>
      <c r="T48">
        <v>223</v>
      </c>
      <c r="U48" t="s">
        <v>305</v>
      </c>
    </row>
    <row r="49" spans="1:21">
      <c r="A49" t="s">
        <v>627</v>
      </c>
      <c r="B49" s="22" t="s">
        <v>484</v>
      </c>
      <c r="C49" t="s">
        <v>485</v>
      </c>
      <c r="D49" s="1">
        <v>10</v>
      </c>
      <c r="E49" s="23">
        <f t="shared" si="0"/>
        <v>0.12820512820512819</v>
      </c>
    </row>
    <row r="50" spans="1:21">
      <c r="A50" t="s">
        <v>626</v>
      </c>
      <c r="B50" s="22" t="s">
        <v>484</v>
      </c>
      <c r="C50" t="s">
        <v>485</v>
      </c>
      <c r="D50" s="1">
        <v>8</v>
      </c>
      <c r="E50" s="23">
        <f t="shared" si="0"/>
        <v>0.10256410256410256</v>
      </c>
    </row>
    <row r="51" spans="1:21">
      <c r="A51" t="s">
        <v>619</v>
      </c>
      <c r="B51" s="22" t="s">
        <v>484</v>
      </c>
      <c r="C51" t="s">
        <v>485</v>
      </c>
      <c r="D51" s="1">
        <v>20</v>
      </c>
      <c r="E51" s="23">
        <f t="shared" si="0"/>
        <v>0.25641025641025639</v>
      </c>
      <c r="T51">
        <v>226</v>
      </c>
      <c r="U51" t="s">
        <v>746</v>
      </c>
    </row>
    <row r="52" spans="1:21">
      <c r="A52" t="s">
        <v>622</v>
      </c>
      <c r="B52" s="22" t="s">
        <v>484</v>
      </c>
      <c r="C52" t="s">
        <v>485</v>
      </c>
      <c r="D52" s="1">
        <v>10</v>
      </c>
      <c r="E52" s="23">
        <f t="shared" si="0"/>
        <v>0.12820512820512819</v>
      </c>
    </row>
    <row r="53" spans="1:21">
      <c r="A53" t="s">
        <v>624</v>
      </c>
      <c r="B53" s="22" t="s">
        <v>484</v>
      </c>
      <c r="C53" t="s">
        <v>485</v>
      </c>
      <c r="D53" s="1">
        <v>10</v>
      </c>
      <c r="E53" s="23">
        <f t="shared" si="0"/>
        <v>0.12820512820512819</v>
      </c>
    </row>
    <row r="54" spans="1:21">
      <c r="A54" t="s">
        <v>728</v>
      </c>
      <c r="B54" s="22" t="s">
        <v>484</v>
      </c>
      <c r="C54" t="s">
        <v>485</v>
      </c>
      <c r="D54" s="1">
        <v>40</v>
      </c>
      <c r="E54" s="23">
        <f t="shared" si="0"/>
        <v>0.51282051282051277</v>
      </c>
      <c r="T54">
        <v>227</v>
      </c>
      <c r="U54" t="s">
        <v>747</v>
      </c>
    </row>
    <row r="55" spans="1:21">
      <c r="A55" t="s">
        <v>725</v>
      </c>
      <c r="B55" s="22" t="s">
        <v>484</v>
      </c>
      <c r="C55" t="s">
        <v>485</v>
      </c>
      <c r="D55" s="1">
        <v>38</v>
      </c>
      <c r="E55" s="23">
        <f t="shared" si="0"/>
        <v>0.48717948717948717</v>
      </c>
      <c r="T55">
        <v>228</v>
      </c>
      <c r="U55" t="s">
        <v>748</v>
      </c>
    </row>
    <row r="56" spans="1:21">
      <c r="A56" t="s">
        <v>648</v>
      </c>
      <c r="B56" s="22" t="s">
        <v>484</v>
      </c>
      <c r="C56" t="s">
        <v>485</v>
      </c>
      <c r="D56" s="1">
        <v>78</v>
      </c>
      <c r="E56" s="23">
        <f t="shared" si="0"/>
        <v>1</v>
      </c>
      <c r="T56">
        <v>300</v>
      </c>
      <c r="U56" t="s">
        <v>749</v>
      </c>
    </row>
    <row r="57" spans="1:21">
      <c r="T57">
        <v>302</v>
      </c>
      <c r="U57" t="s">
        <v>750</v>
      </c>
    </row>
    <row r="58" spans="1:21">
      <c r="T58">
        <v>303</v>
      </c>
      <c r="U58" t="s">
        <v>751</v>
      </c>
    </row>
    <row r="59" spans="1:21">
      <c r="T59">
        <v>304</v>
      </c>
      <c r="U59" t="s">
        <v>752</v>
      </c>
    </row>
    <row r="60" spans="1:21">
      <c r="T60">
        <v>305</v>
      </c>
      <c r="U60" t="s">
        <v>753</v>
      </c>
    </row>
    <row r="61" spans="1:21">
      <c r="T61">
        <v>306</v>
      </c>
      <c r="U61" t="s">
        <v>754</v>
      </c>
    </row>
    <row r="62" spans="1:21">
      <c r="T62">
        <v>307</v>
      </c>
      <c r="U62" t="s">
        <v>755</v>
      </c>
    </row>
    <row r="63" spans="1:21">
      <c r="T63">
        <v>309</v>
      </c>
      <c r="U63" t="s">
        <v>756</v>
      </c>
    </row>
    <row r="64" spans="1:21">
      <c r="T64">
        <v>310</v>
      </c>
      <c r="U64" t="s">
        <v>757</v>
      </c>
    </row>
    <row r="65" spans="20:21">
      <c r="T65">
        <v>312</v>
      </c>
      <c r="U65" t="s">
        <v>758</v>
      </c>
    </row>
    <row r="66" spans="20:21">
      <c r="T66">
        <v>313</v>
      </c>
      <c r="U66" t="s">
        <v>247</v>
      </c>
    </row>
    <row r="67" spans="20:21">
      <c r="T67">
        <v>314</v>
      </c>
      <c r="U67" t="s">
        <v>759</v>
      </c>
    </row>
    <row r="68" spans="20:21">
      <c r="T68">
        <v>315</v>
      </c>
      <c r="U68" t="s">
        <v>760</v>
      </c>
    </row>
    <row r="69" spans="20:21">
      <c r="T69">
        <v>317</v>
      </c>
      <c r="U69" t="s">
        <v>761</v>
      </c>
    </row>
    <row r="70" spans="20:21">
      <c r="T70">
        <v>318</v>
      </c>
      <c r="U70" t="s">
        <v>762</v>
      </c>
    </row>
    <row r="71" spans="20:21">
      <c r="T71">
        <v>319</v>
      </c>
      <c r="U71" t="s">
        <v>763</v>
      </c>
    </row>
    <row r="72" spans="20:21">
      <c r="T72">
        <v>320</v>
      </c>
      <c r="U72" t="s">
        <v>764</v>
      </c>
    </row>
    <row r="73" spans="20:21">
      <c r="T73">
        <v>321</v>
      </c>
      <c r="U73" t="s">
        <v>765</v>
      </c>
    </row>
    <row r="74" spans="20:21">
      <c r="T74">
        <v>324</v>
      </c>
      <c r="U74" t="s">
        <v>766</v>
      </c>
    </row>
    <row r="75" spans="20:21">
      <c r="T75">
        <v>325</v>
      </c>
      <c r="U75" t="s">
        <v>767</v>
      </c>
    </row>
    <row r="76" spans="20:21">
      <c r="T76">
        <v>326</v>
      </c>
      <c r="U76" t="s">
        <v>768</v>
      </c>
    </row>
    <row r="77" spans="20:21">
      <c r="T77">
        <v>327</v>
      </c>
      <c r="U77" t="s">
        <v>769</v>
      </c>
    </row>
    <row r="78" spans="20:21">
      <c r="T78">
        <v>341</v>
      </c>
      <c r="U78" t="s">
        <v>770</v>
      </c>
    </row>
    <row r="79" spans="20:21">
      <c r="T79">
        <v>343</v>
      </c>
      <c r="U79" t="s">
        <v>771</v>
      </c>
    </row>
    <row r="80" spans="20:21">
      <c r="T80">
        <v>344</v>
      </c>
      <c r="U80" t="s">
        <v>772</v>
      </c>
    </row>
    <row r="81" spans="20:21">
      <c r="T81">
        <v>345</v>
      </c>
      <c r="U81" t="s">
        <v>773</v>
      </c>
    </row>
    <row r="82" spans="20:21">
      <c r="T82">
        <v>347</v>
      </c>
      <c r="U82" t="s">
        <v>774</v>
      </c>
    </row>
    <row r="83" spans="20:21">
      <c r="T83">
        <v>349</v>
      </c>
      <c r="U83" t="s">
        <v>775</v>
      </c>
    </row>
    <row r="84" spans="20:21">
      <c r="T84">
        <v>352</v>
      </c>
      <c r="U84" t="s">
        <v>776</v>
      </c>
    </row>
    <row r="85" spans="20:21">
      <c r="T85">
        <v>354</v>
      </c>
      <c r="U85" t="s">
        <v>777</v>
      </c>
    </row>
    <row r="86" spans="20:21">
      <c r="T86">
        <v>356</v>
      </c>
      <c r="U86" t="s">
        <v>778</v>
      </c>
    </row>
    <row r="87" spans="20:21">
      <c r="T87">
        <v>357</v>
      </c>
      <c r="U87" t="s">
        <v>779</v>
      </c>
    </row>
    <row r="88" spans="20:21">
      <c r="T88">
        <v>360</v>
      </c>
      <c r="U88" t="s">
        <v>780</v>
      </c>
    </row>
    <row r="89" spans="20:21">
      <c r="T89">
        <v>361</v>
      </c>
      <c r="U89" t="s">
        <v>781</v>
      </c>
    </row>
    <row r="90" spans="20:21">
      <c r="T90">
        <v>362</v>
      </c>
      <c r="U90" t="s">
        <v>782</v>
      </c>
    </row>
    <row r="91" spans="20:21">
      <c r="T91">
        <v>363</v>
      </c>
      <c r="U91" t="s">
        <v>783</v>
      </c>
    </row>
    <row r="92" spans="20:21">
      <c r="T92">
        <v>364</v>
      </c>
      <c r="U92" t="s">
        <v>784</v>
      </c>
    </row>
    <row r="93" spans="20:21">
      <c r="T93">
        <v>365</v>
      </c>
      <c r="U93" t="s">
        <v>785</v>
      </c>
    </row>
    <row r="94" spans="20:21">
      <c r="T94">
        <v>366</v>
      </c>
      <c r="U94" t="s">
        <v>786</v>
      </c>
    </row>
    <row r="95" spans="20:21">
      <c r="T95">
        <v>400</v>
      </c>
      <c r="U95" t="s">
        <v>787</v>
      </c>
    </row>
    <row r="96" spans="20:21">
      <c r="T96" s="106">
        <v>401</v>
      </c>
      <c r="U96" t="s">
        <v>277</v>
      </c>
    </row>
    <row r="97" spans="20:21">
      <c r="T97" s="106">
        <v>402</v>
      </c>
      <c r="U97" t="s">
        <v>268</v>
      </c>
    </row>
    <row r="98" spans="20:21">
      <c r="T98" s="106">
        <v>403</v>
      </c>
      <c r="U98" t="s">
        <v>216</v>
      </c>
    </row>
    <row r="99" spans="20:21">
      <c r="T99" s="106">
        <v>404</v>
      </c>
      <c r="U99" t="s">
        <v>280</v>
      </c>
    </row>
    <row r="100" spans="20:21">
      <c r="T100" s="106">
        <v>405</v>
      </c>
      <c r="U100" t="s">
        <v>240</v>
      </c>
    </row>
    <row r="101" spans="20:21">
      <c r="T101" s="106">
        <v>406</v>
      </c>
      <c r="U101" t="s">
        <v>217</v>
      </c>
    </row>
    <row r="102" spans="20:21">
      <c r="T102" s="106">
        <v>407</v>
      </c>
      <c r="U102" t="s">
        <v>292</v>
      </c>
    </row>
    <row r="103" spans="20:21">
      <c r="T103" s="106">
        <v>408</v>
      </c>
      <c r="U103" t="s">
        <v>788</v>
      </c>
    </row>
    <row r="104" spans="20:21">
      <c r="T104" s="106">
        <v>409</v>
      </c>
      <c r="U104" t="s">
        <v>789</v>
      </c>
    </row>
    <row r="105" spans="20:21">
      <c r="T105" s="106">
        <v>410</v>
      </c>
      <c r="U105" t="s">
        <v>232</v>
      </c>
    </row>
    <row r="106" spans="20:21">
      <c r="T106" s="106">
        <v>411</v>
      </c>
      <c r="U106" t="s">
        <v>790</v>
      </c>
    </row>
    <row r="107" spans="20:21">
      <c r="T107" s="106">
        <v>412</v>
      </c>
      <c r="U107" t="s">
        <v>208</v>
      </c>
    </row>
    <row r="108" spans="20:21">
      <c r="T108" s="106">
        <v>413</v>
      </c>
      <c r="U108" t="s">
        <v>298</v>
      </c>
    </row>
    <row r="109" spans="20:21">
      <c r="T109" s="106">
        <v>414</v>
      </c>
      <c r="U109" t="s">
        <v>791</v>
      </c>
    </row>
    <row r="110" spans="20:21">
      <c r="T110" s="106">
        <v>415</v>
      </c>
      <c r="U110" t="s">
        <v>792</v>
      </c>
    </row>
    <row r="111" spans="20:21">
      <c r="T111">
        <v>416</v>
      </c>
      <c r="U111" t="s">
        <v>249</v>
      </c>
    </row>
    <row r="112" spans="20:21">
      <c r="T112" s="106">
        <v>417</v>
      </c>
      <c r="U112" t="s">
        <v>793</v>
      </c>
    </row>
    <row r="113" spans="20:21">
      <c r="T113" s="106">
        <v>418</v>
      </c>
      <c r="U113" t="s">
        <v>794</v>
      </c>
    </row>
    <row r="114" spans="20:21">
      <c r="T114" s="106">
        <v>419</v>
      </c>
      <c r="U114" t="s">
        <v>795</v>
      </c>
    </row>
    <row r="115" spans="20:21">
      <c r="T115" s="106">
        <v>421</v>
      </c>
      <c r="U115" t="s">
        <v>281</v>
      </c>
    </row>
    <row r="116" spans="20:21">
      <c r="T116" s="106">
        <v>422</v>
      </c>
      <c r="U116" t="s">
        <v>796</v>
      </c>
    </row>
    <row r="117" spans="20:21">
      <c r="T117" s="106">
        <v>423</v>
      </c>
      <c r="U117" t="s">
        <v>797</v>
      </c>
    </row>
    <row r="118" spans="20:21">
      <c r="T118" s="106">
        <v>424</v>
      </c>
      <c r="U118" t="s">
        <v>798</v>
      </c>
    </row>
    <row r="119" spans="20:21">
      <c r="T119" s="106">
        <v>425</v>
      </c>
      <c r="U119" t="s">
        <v>799</v>
      </c>
    </row>
    <row r="120" spans="20:21">
      <c r="T120" s="106">
        <v>426</v>
      </c>
      <c r="U120" t="s">
        <v>242</v>
      </c>
    </row>
    <row r="121" spans="20:21">
      <c r="T121" s="106">
        <v>427</v>
      </c>
      <c r="U121" t="s">
        <v>800</v>
      </c>
    </row>
    <row r="122" spans="20:21">
      <c r="T122" s="106">
        <v>429</v>
      </c>
      <c r="U122" t="s">
        <v>262</v>
      </c>
    </row>
    <row r="123" spans="20:21">
      <c r="T123" s="106">
        <v>430</v>
      </c>
      <c r="U123" t="s">
        <v>295</v>
      </c>
    </row>
    <row r="124" spans="20:21">
      <c r="T124" s="106">
        <v>431</v>
      </c>
      <c r="U124" t="s">
        <v>801</v>
      </c>
    </row>
    <row r="125" spans="20:21">
      <c r="T125" s="106">
        <v>432</v>
      </c>
      <c r="U125" t="s">
        <v>802</v>
      </c>
    </row>
    <row r="126" spans="20:21">
      <c r="T126" s="106">
        <v>433</v>
      </c>
      <c r="U126" t="s">
        <v>284</v>
      </c>
    </row>
    <row r="127" spans="20:21">
      <c r="T127" s="106">
        <v>434</v>
      </c>
      <c r="U127" t="s">
        <v>803</v>
      </c>
    </row>
    <row r="128" spans="20:21">
      <c r="T128" s="106">
        <v>435</v>
      </c>
      <c r="U128" t="s">
        <v>804</v>
      </c>
    </row>
    <row r="129" spans="20:21">
      <c r="T129" s="106">
        <v>441</v>
      </c>
      <c r="U129" t="s">
        <v>300</v>
      </c>
    </row>
    <row r="130" spans="20:21">
      <c r="T130" s="106">
        <v>442</v>
      </c>
      <c r="U130" t="s">
        <v>805</v>
      </c>
    </row>
    <row r="131" spans="20:21">
      <c r="T131" s="106">
        <v>444</v>
      </c>
      <c r="U131" t="s">
        <v>209</v>
      </c>
    </row>
    <row r="132" spans="20:21">
      <c r="T132" s="106">
        <v>445</v>
      </c>
      <c r="U132" t="s">
        <v>806</v>
      </c>
    </row>
    <row r="133" spans="20:21">
      <c r="T133" s="106">
        <v>446</v>
      </c>
      <c r="U133" t="s">
        <v>807</v>
      </c>
    </row>
    <row r="134" spans="20:21">
      <c r="T134" s="106">
        <v>447</v>
      </c>
      <c r="U134" t="s">
        <v>808</v>
      </c>
    </row>
    <row r="135" spans="20:21">
      <c r="T135" s="106">
        <v>448</v>
      </c>
      <c r="U135" t="s">
        <v>809</v>
      </c>
    </row>
    <row r="136" spans="20:21">
      <c r="T136" s="107">
        <v>500</v>
      </c>
      <c r="U136" t="s">
        <v>218</v>
      </c>
    </row>
    <row r="137" spans="20:21">
      <c r="T137" s="107">
        <v>501</v>
      </c>
      <c r="U137" t="s">
        <v>275</v>
      </c>
    </row>
    <row r="138" spans="20:21">
      <c r="T138" s="107">
        <v>502</v>
      </c>
      <c r="U138" t="s">
        <v>211</v>
      </c>
    </row>
    <row r="139" spans="20:21">
      <c r="T139" s="107">
        <v>506</v>
      </c>
      <c r="U139" t="s">
        <v>810</v>
      </c>
    </row>
    <row r="140" spans="20:21">
      <c r="T140" s="107">
        <v>507</v>
      </c>
      <c r="U140" t="s">
        <v>276</v>
      </c>
    </row>
    <row r="141" spans="20:21">
      <c r="T141" s="107">
        <v>509</v>
      </c>
      <c r="U141" t="s">
        <v>212</v>
      </c>
    </row>
    <row r="142" spans="20:21">
      <c r="T142" s="107">
        <v>514</v>
      </c>
      <c r="U142" t="s">
        <v>811</v>
      </c>
    </row>
    <row r="143" spans="20:21">
      <c r="T143" s="107">
        <v>515</v>
      </c>
      <c r="U143" t="s">
        <v>812</v>
      </c>
    </row>
    <row r="144" spans="20:21">
      <c r="T144" s="107">
        <v>516</v>
      </c>
      <c r="U144" t="s">
        <v>813</v>
      </c>
    </row>
    <row r="145" spans="20:21">
      <c r="T145" s="107">
        <v>517</v>
      </c>
      <c r="U145" t="s">
        <v>814</v>
      </c>
    </row>
    <row r="146" spans="20:21">
      <c r="T146" s="107">
        <v>518</v>
      </c>
      <c r="U146" t="s">
        <v>815</v>
      </c>
    </row>
    <row r="147" spans="20:21">
      <c r="T147">
        <v>519</v>
      </c>
      <c r="U147" t="s">
        <v>816</v>
      </c>
    </row>
    <row r="148" spans="20:21">
      <c r="T148">
        <v>523</v>
      </c>
      <c r="U148" t="s">
        <v>220</v>
      </c>
    </row>
    <row r="149" spans="20:21">
      <c r="T149">
        <v>524</v>
      </c>
      <c r="U149" t="s">
        <v>306</v>
      </c>
    </row>
    <row r="150" spans="20:21">
      <c r="T150">
        <v>525</v>
      </c>
      <c r="U150" t="s">
        <v>817</v>
      </c>
    </row>
    <row r="151" spans="20:21">
      <c r="T151">
        <v>526</v>
      </c>
      <c r="U151" t="s">
        <v>818</v>
      </c>
    </row>
    <row r="152" spans="20:21">
      <c r="T152">
        <v>527</v>
      </c>
      <c r="U152" t="s">
        <v>819</v>
      </c>
    </row>
    <row r="153" spans="20:21">
      <c r="T153">
        <v>528</v>
      </c>
      <c r="U153" t="s">
        <v>820</v>
      </c>
    </row>
    <row r="154" spans="20:21">
      <c r="T154">
        <v>530</v>
      </c>
      <c r="U154" t="s">
        <v>821</v>
      </c>
    </row>
    <row r="155" spans="20:21">
      <c r="T155">
        <v>532</v>
      </c>
      <c r="U155" t="s">
        <v>822</v>
      </c>
    </row>
    <row r="156" spans="20:21">
      <c r="T156">
        <v>533</v>
      </c>
      <c r="U156" t="s">
        <v>823</v>
      </c>
    </row>
    <row r="157" spans="20:21">
      <c r="T157">
        <v>534</v>
      </c>
      <c r="U157" t="s">
        <v>824</v>
      </c>
    </row>
    <row r="158" spans="20:21">
      <c r="T158">
        <v>537</v>
      </c>
      <c r="U158" t="s">
        <v>301</v>
      </c>
    </row>
    <row r="159" spans="20:21">
      <c r="T159">
        <v>538</v>
      </c>
      <c r="U159" t="s">
        <v>193</v>
      </c>
    </row>
    <row r="160" spans="20:21">
      <c r="T160">
        <v>539</v>
      </c>
      <c r="U160" t="s">
        <v>825</v>
      </c>
    </row>
    <row r="161" spans="20:21">
      <c r="T161">
        <v>550</v>
      </c>
      <c r="U161" t="s">
        <v>210</v>
      </c>
    </row>
    <row r="162" spans="20:21">
      <c r="T162">
        <v>551</v>
      </c>
      <c r="U162" t="s">
        <v>826</v>
      </c>
    </row>
    <row r="163" spans="20:21">
      <c r="T163">
        <v>552</v>
      </c>
      <c r="U163" t="s">
        <v>250</v>
      </c>
    </row>
    <row r="164" spans="20:21">
      <c r="T164">
        <v>565</v>
      </c>
      <c r="U164" t="s">
        <v>827</v>
      </c>
    </row>
    <row r="165" spans="20:21">
      <c r="T165">
        <v>566</v>
      </c>
      <c r="U165" t="s">
        <v>828</v>
      </c>
    </row>
    <row r="166" spans="20:21">
      <c r="T166">
        <v>567</v>
      </c>
      <c r="U166" t="s">
        <v>829</v>
      </c>
    </row>
    <row r="167" spans="20:21">
      <c r="T167">
        <v>568</v>
      </c>
      <c r="U167" t="s">
        <v>830</v>
      </c>
    </row>
    <row r="168" spans="20:21">
      <c r="T168">
        <v>571</v>
      </c>
      <c r="U168" t="s">
        <v>831</v>
      </c>
    </row>
    <row r="169" spans="20:21">
      <c r="T169">
        <v>572</v>
      </c>
      <c r="U169" t="s">
        <v>832</v>
      </c>
    </row>
    <row r="170" spans="20:21">
      <c r="T170">
        <v>573</v>
      </c>
      <c r="U170" t="s">
        <v>833</v>
      </c>
    </row>
    <row r="171" spans="20:21">
      <c r="T171">
        <v>574</v>
      </c>
      <c r="U171" t="s">
        <v>834</v>
      </c>
    </row>
    <row r="172" spans="20:21">
      <c r="T172">
        <v>575</v>
      </c>
      <c r="U172" t="s">
        <v>835</v>
      </c>
    </row>
    <row r="173" spans="20:21">
      <c r="T173">
        <v>576</v>
      </c>
      <c r="U173" t="s">
        <v>836</v>
      </c>
    </row>
    <row r="174" spans="20:21">
      <c r="T174">
        <v>577</v>
      </c>
      <c r="U174" t="s">
        <v>261</v>
      </c>
    </row>
    <row r="175" spans="20:21">
      <c r="T175">
        <v>600</v>
      </c>
      <c r="U175" t="s">
        <v>837</v>
      </c>
    </row>
    <row r="176" spans="20:21">
      <c r="T176">
        <v>601</v>
      </c>
      <c r="U176" t="s">
        <v>838</v>
      </c>
    </row>
    <row r="177" spans="20:21">
      <c r="T177">
        <v>602</v>
      </c>
      <c r="U177" t="s">
        <v>839</v>
      </c>
    </row>
    <row r="178" spans="20:21">
      <c r="T178">
        <v>603</v>
      </c>
      <c r="U178" t="s">
        <v>291</v>
      </c>
    </row>
    <row r="179" spans="20:21">
      <c r="T179">
        <v>609</v>
      </c>
      <c r="U179" t="s">
        <v>840</v>
      </c>
    </row>
    <row r="180" spans="20:21">
      <c r="T180">
        <v>610</v>
      </c>
      <c r="U180" t="s">
        <v>841</v>
      </c>
    </row>
    <row r="181" spans="20:21">
      <c r="T181">
        <v>611</v>
      </c>
      <c r="U181" t="s">
        <v>842</v>
      </c>
    </row>
    <row r="182" spans="20:21">
      <c r="T182">
        <v>612</v>
      </c>
      <c r="U182" t="s">
        <v>843</v>
      </c>
    </row>
    <row r="183" spans="20:21">
      <c r="T183">
        <v>613</v>
      </c>
      <c r="U183" t="s">
        <v>844</v>
      </c>
    </row>
    <row r="184" spans="20:21">
      <c r="T184">
        <v>615</v>
      </c>
      <c r="U184" t="s">
        <v>845</v>
      </c>
    </row>
    <row r="185" spans="20:21">
      <c r="T185">
        <v>616</v>
      </c>
      <c r="U185" t="s">
        <v>846</v>
      </c>
    </row>
    <row r="186" spans="20:21">
      <c r="T186">
        <v>619</v>
      </c>
      <c r="U186" t="s">
        <v>847</v>
      </c>
    </row>
    <row r="187" spans="20:21">
      <c r="T187">
        <v>621</v>
      </c>
      <c r="U187" t="s">
        <v>287</v>
      </c>
    </row>
    <row r="188" spans="20:21">
      <c r="T188">
        <v>622</v>
      </c>
      <c r="U188" t="s">
        <v>848</v>
      </c>
    </row>
    <row r="189" spans="20:21">
      <c r="T189">
        <v>623</v>
      </c>
      <c r="U189" t="s">
        <v>849</v>
      </c>
    </row>
    <row r="190" spans="20:21">
      <c r="T190">
        <v>624</v>
      </c>
      <c r="U190" t="s">
        <v>850</v>
      </c>
    </row>
    <row r="191" spans="20:21">
      <c r="T191">
        <v>625</v>
      </c>
      <c r="U191" t="s">
        <v>851</v>
      </c>
    </row>
    <row r="192" spans="20:21">
      <c r="T192">
        <v>626</v>
      </c>
      <c r="U192" t="s">
        <v>852</v>
      </c>
    </row>
    <row r="193" spans="20:21">
      <c r="T193">
        <v>627</v>
      </c>
      <c r="U193" t="s">
        <v>853</v>
      </c>
    </row>
    <row r="194" spans="20:21">
      <c r="T194">
        <v>628</v>
      </c>
      <c r="U194" t="s">
        <v>854</v>
      </c>
    </row>
    <row r="195" spans="20:21">
      <c r="T195">
        <v>629</v>
      </c>
      <c r="U195" t="s">
        <v>855</v>
      </c>
    </row>
    <row r="196" spans="20:21">
      <c r="T196">
        <v>700</v>
      </c>
      <c r="U196" t="s">
        <v>238</v>
      </c>
    </row>
    <row r="197" spans="20:21">
      <c r="T197">
        <v>702</v>
      </c>
      <c r="U197" t="s">
        <v>856</v>
      </c>
    </row>
    <row r="198" spans="20:21">
      <c r="T198">
        <v>703</v>
      </c>
      <c r="U198" t="s">
        <v>857</v>
      </c>
    </row>
    <row r="199" spans="20:21">
      <c r="T199">
        <v>707</v>
      </c>
      <c r="U199" t="s">
        <v>858</v>
      </c>
    </row>
    <row r="200" spans="20:21">
      <c r="T200">
        <v>708</v>
      </c>
      <c r="U200" t="s">
        <v>859</v>
      </c>
    </row>
    <row r="201" spans="20:21">
      <c r="T201">
        <v>711</v>
      </c>
      <c r="U201" t="s">
        <v>860</v>
      </c>
    </row>
    <row r="202" spans="20:21">
      <c r="T202">
        <v>715</v>
      </c>
      <c r="U202" t="s">
        <v>861</v>
      </c>
    </row>
    <row r="203" spans="20:21">
      <c r="T203">
        <v>716</v>
      </c>
      <c r="U203" t="s">
        <v>862</v>
      </c>
    </row>
    <row r="204" spans="20:21">
      <c r="T204">
        <v>717</v>
      </c>
      <c r="U204" t="s">
        <v>863</v>
      </c>
    </row>
    <row r="205" spans="20:21">
      <c r="T205">
        <v>718</v>
      </c>
      <c r="U205" t="s">
        <v>864</v>
      </c>
    </row>
    <row r="206" spans="20:21">
      <c r="T206">
        <v>719</v>
      </c>
      <c r="U206" t="s">
        <v>865</v>
      </c>
    </row>
    <row r="207" spans="20:21">
      <c r="T207">
        <v>720</v>
      </c>
      <c r="U207" t="s">
        <v>866</v>
      </c>
    </row>
    <row r="208" spans="20:21">
      <c r="T208">
        <v>721</v>
      </c>
      <c r="U208" t="s">
        <v>867</v>
      </c>
    </row>
    <row r="209" spans="20:21">
      <c r="T209">
        <v>722</v>
      </c>
      <c r="U209" t="s">
        <v>251</v>
      </c>
    </row>
    <row r="210" spans="20:21">
      <c r="T210">
        <v>728</v>
      </c>
      <c r="U210" t="s">
        <v>868</v>
      </c>
    </row>
    <row r="211" spans="20:21">
      <c r="T211">
        <v>800</v>
      </c>
      <c r="U211" t="s">
        <v>236</v>
      </c>
    </row>
    <row r="212" spans="20:21">
      <c r="T212">
        <v>802</v>
      </c>
      <c r="U212" t="s">
        <v>869</v>
      </c>
    </row>
    <row r="213" spans="20:21">
      <c r="T213">
        <v>803</v>
      </c>
      <c r="U213" t="s">
        <v>225</v>
      </c>
    </row>
    <row r="214" spans="20:21">
      <c r="T214">
        <v>804</v>
      </c>
      <c r="U214" t="s">
        <v>263</v>
      </c>
    </row>
    <row r="215" spans="20:21">
      <c r="T215">
        <v>806</v>
      </c>
      <c r="U215" t="s">
        <v>870</v>
      </c>
    </row>
    <row r="216" spans="20:21">
      <c r="T216">
        <v>811</v>
      </c>
      <c r="U216" t="s">
        <v>871</v>
      </c>
    </row>
    <row r="217" spans="20:21">
      <c r="T217">
        <v>812</v>
      </c>
      <c r="U217" t="s">
        <v>186</v>
      </c>
    </row>
    <row r="218" spans="20:21">
      <c r="T218">
        <v>813</v>
      </c>
      <c r="U218" t="s">
        <v>226</v>
      </c>
    </row>
    <row r="219" spans="20:21">
      <c r="T219">
        <v>814</v>
      </c>
      <c r="U219" t="s">
        <v>872</v>
      </c>
    </row>
    <row r="220" spans="20:21">
      <c r="T220">
        <v>816</v>
      </c>
      <c r="U220" t="s">
        <v>873</v>
      </c>
    </row>
    <row r="221" spans="20:21">
      <c r="T221">
        <v>817</v>
      </c>
      <c r="U221" t="s">
        <v>874</v>
      </c>
    </row>
    <row r="222" spans="20:21">
      <c r="T222">
        <v>819</v>
      </c>
      <c r="U222" t="s">
        <v>875</v>
      </c>
    </row>
    <row r="223" spans="20:21">
      <c r="T223">
        <v>820</v>
      </c>
      <c r="U223" t="s">
        <v>876</v>
      </c>
    </row>
    <row r="224" spans="20:21">
      <c r="T224">
        <v>823</v>
      </c>
      <c r="U224" t="s">
        <v>877</v>
      </c>
    </row>
    <row r="225" spans="20:21">
      <c r="T225">
        <v>825</v>
      </c>
      <c r="U225" t="s">
        <v>878</v>
      </c>
    </row>
    <row r="226" spans="20:21">
      <c r="T226">
        <v>828</v>
      </c>
      <c r="U226" t="s">
        <v>879</v>
      </c>
    </row>
    <row r="227" spans="20:21">
      <c r="T227">
        <v>829</v>
      </c>
      <c r="U227" t="s">
        <v>880</v>
      </c>
    </row>
    <row r="228" spans="20:21">
      <c r="T228">
        <v>900</v>
      </c>
      <c r="U228" t="s">
        <v>245</v>
      </c>
    </row>
    <row r="229" spans="20:21">
      <c r="T229">
        <v>901</v>
      </c>
      <c r="U229" t="s">
        <v>881</v>
      </c>
    </row>
    <row r="230" spans="20:21">
      <c r="T230">
        <v>902</v>
      </c>
      <c r="U230" t="s">
        <v>882</v>
      </c>
    </row>
    <row r="231" spans="20:21">
      <c r="T231">
        <v>903</v>
      </c>
      <c r="U231" t="s">
        <v>883</v>
      </c>
    </row>
    <row r="232" spans="20:21">
      <c r="T232">
        <v>904</v>
      </c>
      <c r="U232" t="s">
        <v>884</v>
      </c>
    </row>
    <row r="233" spans="20:21">
      <c r="T233">
        <v>905</v>
      </c>
      <c r="U233" t="s">
        <v>192</v>
      </c>
    </row>
    <row r="234" spans="20:21">
      <c r="T234">
        <v>906</v>
      </c>
      <c r="U234" t="s">
        <v>885</v>
      </c>
    </row>
    <row r="235" spans="20:21">
      <c r="T235">
        <v>907</v>
      </c>
      <c r="U235" t="s">
        <v>197</v>
      </c>
    </row>
    <row r="236" spans="20:21">
      <c r="T236">
        <v>908</v>
      </c>
      <c r="U236" t="s">
        <v>886</v>
      </c>
    </row>
    <row r="237" spans="20:21">
      <c r="T237">
        <v>911</v>
      </c>
      <c r="U237" t="s">
        <v>265</v>
      </c>
    </row>
    <row r="238" spans="20:21">
      <c r="T238">
        <v>912</v>
      </c>
      <c r="U238" t="s">
        <v>887</v>
      </c>
    </row>
    <row r="239" spans="20:21">
      <c r="T239">
        <v>913</v>
      </c>
      <c r="U239" t="s">
        <v>888</v>
      </c>
    </row>
    <row r="240" spans="20:21">
      <c r="T240">
        <v>914</v>
      </c>
      <c r="U240" t="s">
        <v>889</v>
      </c>
    </row>
    <row r="241" spans="20:21">
      <c r="T241">
        <v>915</v>
      </c>
      <c r="U241" t="s">
        <v>890</v>
      </c>
    </row>
    <row r="242" spans="20:21">
      <c r="T242">
        <v>916</v>
      </c>
      <c r="U242" t="s">
        <v>191</v>
      </c>
    </row>
    <row r="243" spans="20:21">
      <c r="T243">
        <v>917</v>
      </c>
      <c r="U243" t="s">
        <v>891</v>
      </c>
    </row>
    <row r="244" spans="20:21">
      <c r="T244">
        <v>932</v>
      </c>
      <c r="U244" t="s">
        <v>892</v>
      </c>
    </row>
    <row r="245" spans="20:21">
      <c r="T245">
        <v>1800</v>
      </c>
      <c r="U245" t="s">
        <v>893</v>
      </c>
    </row>
    <row r="246" spans="20:21">
      <c r="T246">
        <v>1801</v>
      </c>
      <c r="U246" t="s">
        <v>894</v>
      </c>
    </row>
    <row r="247" spans="20:21">
      <c r="T247">
        <v>1812</v>
      </c>
      <c r="U247" t="s">
        <v>895</v>
      </c>
    </row>
    <row r="248" spans="20:21">
      <c r="T248">
        <v>1813</v>
      </c>
      <c r="U248" t="s">
        <v>196</v>
      </c>
    </row>
    <row r="249" spans="20:21">
      <c r="T249">
        <v>1814</v>
      </c>
      <c r="U249" t="s">
        <v>896</v>
      </c>
    </row>
    <row r="250" spans="20:21">
      <c r="T250">
        <v>1816</v>
      </c>
      <c r="U250" t="s">
        <v>897</v>
      </c>
    </row>
    <row r="251" spans="20:21">
      <c r="T251">
        <v>1817</v>
      </c>
      <c r="U251" t="s">
        <v>898</v>
      </c>
    </row>
    <row r="252" spans="20:21">
      <c r="T252">
        <v>1818</v>
      </c>
      <c r="U252" t="s">
        <v>899</v>
      </c>
    </row>
    <row r="253" spans="20:21">
      <c r="T253">
        <v>1819</v>
      </c>
      <c r="U253" t="s">
        <v>900</v>
      </c>
    </row>
    <row r="254" spans="20:21">
      <c r="T254">
        <v>1820</v>
      </c>
      <c r="U254" t="s">
        <v>901</v>
      </c>
    </row>
    <row r="255" spans="20:21">
      <c r="T255">
        <v>1821</v>
      </c>
      <c r="U255" t="s">
        <v>214</v>
      </c>
    </row>
    <row r="256" spans="20:21">
      <c r="T256">
        <v>1822</v>
      </c>
      <c r="U256" t="s">
        <v>902</v>
      </c>
    </row>
    <row r="257" spans="20:21">
      <c r="T257">
        <v>1823</v>
      </c>
      <c r="U257" t="s">
        <v>903</v>
      </c>
    </row>
    <row r="258" spans="20:21">
      <c r="T258">
        <v>1824</v>
      </c>
      <c r="U258" t="s">
        <v>904</v>
      </c>
    </row>
    <row r="259" spans="20:21">
      <c r="T259">
        <v>1825</v>
      </c>
      <c r="U259" t="s">
        <v>299</v>
      </c>
    </row>
    <row r="260" spans="20:21">
      <c r="T260">
        <v>1828</v>
      </c>
      <c r="U260" t="s">
        <v>266</v>
      </c>
    </row>
    <row r="261" spans="20:21">
      <c r="T261">
        <v>1832</v>
      </c>
      <c r="U261" t="s">
        <v>905</v>
      </c>
    </row>
    <row r="262" spans="20:21">
      <c r="T262">
        <v>1833</v>
      </c>
      <c r="U262" t="s">
        <v>289</v>
      </c>
    </row>
    <row r="263" spans="20:21">
      <c r="T263">
        <v>1834</v>
      </c>
      <c r="U263" t="s">
        <v>906</v>
      </c>
    </row>
    <row r="264" spans="20:21">
      <c r="T264">
        <v>1835</v>
      </c>
      <c r="U264" t="s">
        <v>907</v>
      </c>
    </row>
    <row r="265" spans="20:21">
      <c r="T265">
        <v>1836</v>
      </c>
      <c r="U265" t="s">
        <v>908</v>
      </c>
    </row>
    <row r="266" spans="20:21">
      <c r="T266">
        <v>1835</v>
      </c>
      <c r="U266" t="s">
        <v>909</v>
      </c>
    </row>
    <row r="267" spans="20:21">
      <c r="T267">
        <v>1838</v>
      </c>
      <c r="U267" t="s">
        <v>910</v>
      </c>
    </row>
    <row r="268" spans="20:21">
      <c r="T268">
        <v>1840</v>
      </c>
      <c r="U268" t="s">
        <v>911</v>
      </c>
    </row>
    <row r="269" spans="20:21">
      <c r="T269">
        <v>1874</v>
      </c>
      <c r="U269" t="s">
        <v>912</v>
      </c>
    </row>
    <row r="270" spans="20:21">
      <c r="T270">
        <v>1875</v>
      </c>
      <c r="U270" t="s">
        <v>913</v>
      </c>
    </row>
    <row r="271" spans="20:21">
      <c r="T271">
        <v>1876</v>
      </c>
      <c r="U271" t="s">
        <v>914</v>
      </c>
    </row>
    <row r="272" spans="20:21">
      <c r="T272">
        <v>1878</v>
      </c>
      <c r="U272" t="s">
        <v>915</v>
      </c>
    </row>
    <row r="273" spans="20:21">
      <c r="T273">
        <v>1879</v>
      </c>
      <c r="U273" t="s">
        <v>916</v>
      </c>
    </row>
    <row r="274" spans="20:21">
      <c r="T274">
        <v>1880</v>
      </c>
      <c r="U274" t="s">
        <v>917</v>
      </c>
    </row>
    <row r="275" spans="20:21">
      <c r="T275">
        <v>1882</v>
      </c>
      <c r="U275" t="s">
        <v>918</v>
      </c>
    </row>
    <row r="276" spans="20:21">
      <c r="T276">
        <v>1885</v>
      </c>
      <c r="U276" t="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1899</v>
      </c>
      <c r="U281" t="s">
        <v>922</v>
      </c>
    </row>
    <row r="282" spans="20:21">
      <c r="T282">
        <v>1909</v>
      </c>
      <c r="U282" t="s">
        <v>923</v>
      </c>
    </row>
    <row r="283" spans="20:21">
      <c r="T283">
        <v>1910</v>
      </c>
      <c r="U283" t="s">
        <v>924</v>
      </c>
    </row>
    <row r="284" spans="20:21">
      <c r="T284">
        <v>1911</v>
      </c>
      <c r="U284" t="s">
        <v>925</v>
      </c>
    </row>
    <row r="285" spans="20:21">
      <c r="T285">
        <v>1912</v>
      </c>
      <c r="U285" t="s">
        <v>926</v>
      </c>
    </row>
    <row r="286" spans="20:21">
      <c r="T286">
        <v>1913</v>
      </c>
      <c r="U286" t="s">
        <v>927</v>
      </c>
    </row>
    <row r="287" spans="20:21">
      <c r="T287">
        <v>1914</v>
      </c>
      <c r="U287" t="s">
        <v>928</v>
      </c>
    </row>
    <row r="288" spans="20:21">
      <c r="T288">
        <v>1915</v>
      </c>
      <c r="U288" t="s">
        <v>929</v>
      </c>
    </row>
    <row r="289" spans="20:21">
      <c r="T289">
        <v>1917</v>
      </c>
      <c r="U289" t="s">
        <v>930</v>
      </c>
    </row>
    <row r="290" spans="20:21">
      <c r="T290">
        <v>2100</v>
      </c>
      <c r="U290" t="s">
        <v>931</v>
      </c>
    </row>
    <row r="291" spans="20:21">
      <c r="T291">
        <v>2101</v>
      </c>
      <c r="U291" t="s">
        <v>932</v>
      </c>
    </row>
    <row r="292" spans="20:21">
      <c r="T292">
        <v>2102</v>
      </c>
      <c r="U292" t="s">
        <v>237</v>
      </c>
    </row>
    <row r="293" spans="20:21">
      <c r="T293">
        <v>2106</v>
      </c>
      <c r="U293" t="s">
        <v>244</v>
      </c>
    </row>
    <row r="294" spans="20:21">
      <c r="T294">
        <v>2107</v>
      </c>
      <c r="U294" t="s">
        <v>267</v>
      </c>
    </row>
    <row r="295" spans="20:21">
      <c r="T295">
        <v>2113</v>
      </c>
      <c r="U295" t="s">
        <v>933</v>
      </c>
    </row>
    <row r="296" spans="20:21">
      <c r="T296">
        <v>2114</v>
      </c>
      <c r="U296" t="s">
        <v>183</v>
      </c>
    </row>
    <row r="297" spans="20:21">
      <c r="T297">
        <v>2115</v>
      </c>
      <c r="U297" t="s">
        <v>934</v>
      </c>
    </row>
    <row r="298" spans="20:21">
      <c r="T298">
        <v>2116</v>
      </c>
      <c r="U298" t="s">
        <v>935</v>
      </c>
    </row>
    <row r="299" spans="20:21">
      <c r="T299">
        <v>2117</v>
      </c>
      <c r="U299" t="s">
        <v>936</v>
      </c>
    </row>
    <row r="300" spans="20:21">
      <c r="T300">
        <v>2118</v>
      </c>
      <c r="U300" t="s">
        <v>187</v>
      </c>
    </row>
    <row r="301" spans="20:21">
      <c r="T301">
        <v>2119</v>
      </c>
      <c r="U301" t="s">
        <v>937</v>
      </c>
    </row>
    <row r="302" spans="20:21">
      <c r="T302">
        <v>2120</v>
      </c>
      <c r="U302" t="s">
        <v>938</v>
      </c>
    </row>
    <row r="303" spans="20:21">
      <c r="T303">
        <v>2124</v>
      </c>
      <c r="U303" t="s">
        <v>939</v>
      </c>
    </row>
    <row r="304" spans="20:21">
      <c r="T304">
        <v>2125</v>
      </c>
      <c r="U304" t="s">
        <v>940</v>
      </c>
    </row>
    <row r="305" spans="20:21">
      <c r="T305">
        <v>2129</v>
      </c>
      <c r="U305" t="s">
        <v>941</v>
      </c>
    </row>
    <row r="306" spans="20:21">
      <c r="T306">
        <v>2130</v>
      </c>
      <c r="U306" t="s">
        <v>942</v>
      </c>
    </row>
    <row r="307" spans="20:21">
      <c r="T307">
        <v>2131</v>
      </c>
      <c r="U307" t="s">
        <v>943</v>
      </c>
    </row>
    <row r="308" spans="20:21">
      <c r="T308">
        <v>2198</v>
      </c>
      <c r="U308" t="s">
        <v>944</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945</v>
      </c>
    </row>
    <row r="316" spans="20:21">
      <c r="T316">
        <v>5207</v>
      </c>
      <c r="U316" t="s">
        <v>204</v>
      </c>
    </row>
    <row r="317" spans="20:21">
      <c r="T317">
        <v>5208</v>
      </c>
      <c r="U317" t="s">
        <v>946</v>
      </c>
    </row>
    <row r="318" spans="20:21">
      <c r="T318">
        <v>5209</v>
      </c>
      <c r="U318" t="s">
        <v>947</v>
      </c>
    </row>
    <row r="319" spans="20:21">
      <c r="T319">
        <v>5210</v>
      </c>
      <c r="U319" t="s">
        <v>206</v>
      </c>
    </row>
    <row r="320" spans="20:21">
      <c r="T320">
        <v>5212</v>
      </c>
      <c r="U320" t="s">
        <v>188</v>
      </c>
    </row>
    <row r="321" spans="20:21">
      <c r="T321">
        <v>5213</v>
      </c>
      <c r="U321" t="s">
        <v>948</v>
      </c>
    </row>
    <row r="322" spans="20:21">
      <c r="T322">
        <v>5213</v>
      </c>
      <c r="U322" t="s">
        <v>949</v>
      </c>
    </row>
    <row r="323" spans="20:21">
      <c r="T323">
        <v>5215</v>
      </c>
      <c r="U323" t="s">
        <v>241</v>
      </c>
    </row>
    <row r="324" spans="20:21">
      <c r="T324">
        <v>5216</v>
      </c>
      <c r="U324" t="s">
        <v>213</v>
      </c>
    </row>
    <row r="325" spans="20:21">
      <c r="T325">
        <v>5217</v>
      </c>
      <c r="U325" t="s">
        <v>207</v>
      </c>
    </row>
    <row r="326" spans="20:21">
      <c r="T326">
        <v>5218</v>
      </c>
      <c r="U326" t="s">
        <v>950</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951</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952</v>
      </c>
    </row>
    <row r="337" spans="20:21">
      <c r="T337">
        <v>5230</v>
      </c>
      <c r="U337" t="s">
        <v>953</v>
      </c>
    </row>
    <row r="338" spans="20:21">
      <c r="T338">
        <v>5231</v>
      </c>
      <c r="U338" t="s">
        <v>954</v>
      </c>
    </row>
    <row r="339" spans="20:21">
      <c r="T339">
        <v>5232</v>
      </c>
      <c r="U339" t="s">
        <v>955</v>
      </c>
    </row>
    <row r="340" spans="20:21">
      <c r="T340">
        <v>5233</v>
      </c>
      <c r="U340" t="s">
        <v>956</v>
      </c>
    </row>
    <row r="341" spans="20:21">
      <c r="T341">
        <v>5234</v>
      </c>
      <c r="U341" t="s">
        <v>202</v>
      </c>
    </row>
    <row r="342" spans="20:21">
      <c r="T342">
        <v>5235</v>
      </c>
      <c r="U342" t="s">
        <v>957</v>
      </c>
    </row>
    <row r="343" spans="20:21">
      <c r="T343">
        <v>5236</v>
      </c>
      <c r="U343" t="s">
        <v>199</v>
      </c>
    </row>
    <row r="344" spans="20:21">
      <c r="T344">
        <v>5237</v>
      </c>
      <c r="U344" t="s">
        <v>200</v>
      </c>
    </row>
    <row r="345" spans="20:21">
      <c r="T345">
        <v>5238</v>
      </c>
      <c r="U345" t="s">
        <v>201</v>
      </c>
    </row>
    <row r="346" spans="20:21">
      <c r="T346">
        <v>5239</v>
      </c>
      <c r="U346" t="s">
        <v>958</v>
      </c>
    </row>
    <row r="347" spans="20:21">
      <c r="T347">
        <v>5240</v>
      </c>
      <c r="U347" t="s">
        <v>285</v>
      </c>
    </row>
    <row r="348" spans="20:21">
      <c r="T348">
        <v>5241</v>
      </c>
      <c r="U348" t="s">
        <v>959</v>
      </c>
    </row>
    <row r="349" spans="20:21">
      <c r="T349">
        <v>5242</v>
      </c>
      <c r="U349" t="s">
        <v>960</v>
      </c>
    </row>
    <row r="350" spans="20:21">
      <c r="T350">
        <v>5243</v>
      </c>
      <c r="U350" t="s">
        <v>203</v>
      </c>
    </row>
    <row r="351" spans="20:21">
      <c r="T351">
        <v>5244</v>
      </c>
      <c r="U351" t="s">
        <v>961</v>
      </c>
    </row>
    <row r="352" spans="20:21">
      <c r="T352">
        <v>5245</v>
      </c>
      <c r="U352" t="s">
        <v>962</v>
      </c>
    </row>
    <row r="353" spans="20:21">
      <c r="T353">
        <v>5246</v>
      </c>
      <c r="U353" t="s">
        <v>963</v>
      </c>
    </row>
    <row r="354" spans="20:21">
      <c r="T354">
        <v>5247</v>
      </c>
      <c r="U354" t="s">
        <v>264</v>
      </c>
    </row>
    <row r="355" spans="20:21">
      <c r="T355">
        <v>5248</v>
      </c>
      <c r="U355" t="s">
        <v>182</v>
      </c>
    </row>
    <row r="356" spans="20:21">
      <c r="T356">
        <v>5249</v>
      </c>
      <c r="U356" t="s">
        <v>964</v>
      </c>
    </row>
    <row r="357" spans="20:21">
      <c r="T357">
        <v>5250</v>
      </c>
      <c r="U357" t="s">
        <v>965</v>
      </c>
    </row>
    <row r="358" spans="20:21">
      <c r="T358">
        <v>5251</v>
      </c>
      <c r="U358" t="s">
        <v>181</v>
      </c>
    </row>
    <row r="359" spans="20:21">
      <c r="T359">
        <v>5252</v>
      </c>
      <c r="U359" t="s">
        <v>966</v>
      </c>
    </row>
    <row r="360" spans="20:21">
      <c r="T360">
        <v>5253</v>
      </c>
      <c r="U360" t="s">
        <v>967</v>
      </c>
    </row>
    <row r="361" spans="20:21">
      <c r="T361">
        <v>5254</v>
      </c>
      <c r="U361" t="s">
        <v>205</v>
      </c>
    </row>
    <row r="362" spans="20:21">
      <c r="T362">
        <v>5255</v>
      </c>
      <c r="U362" t="s">
        <v>968</v>
      </c>
    </row>
    <row r="363" spans="20:21">
      <c r="T363">
        <v>5256</v>
      </c>
      <c r="U363" t="s">
        <v>969</v>
      </c>
    </row>
    <row r="364" spans="20:21">
      <c r="T364">
        <v>5257</v>
      </c>
      <c r="U364" t="s">
        <v>970</v>
      </c>
    </row>
    <row r="365" spans="20:21">
      <c r="T365">
        <v>5258</v>
      </c>
      <c r="U365" t="s">
        <v>971</v>
      </c>
    </row>
    <row r="366" spans="20:21">
      <c r="T366">
        <v>5259</v>
      </c>
      <c r="U366" t="s">
        <v>972</v>
      </c>
    </row>
    <row r="367" spans="20:21">
      <c r="T367">
        <v>5260</v>
      </c>
      <c r="U367" t="s">
        <v>235</v>
      </c>
    </row>
    <row r="368" spans="20:21">
      <c r="T368">
        <v>5261</v>
      </c>
      <c r="U368" t="s">
        <v>973</v>
      </c>
    </row>
    <row r="369" spans="20:21">
      <c r="T369">
        <v>5262</v>
      </c>
      <c r="U369" t="s">
        <v>974</v>
      </c>
    </row>
    <row r="370" spans="20:21">
      <c r="T370">
        <v>5263</v>
      </c>
      <c r="U370" t="s">
        <v>189</v>
      </c>
    </row>
    <row r="371" spans="20:21">
      <c r="T371">
        <v>5264</v>
      </c>
      <c r="U371" t="s">
        <v>975</v>
      </c>
    </row>
    <row r="372" spans="20:21">
      <c r="T372">
        <v>5265</v>
      </c>
      <c r="U372" t="s">
        <v>976</v>
      </c>
    </row>
    <row r="373" spans="20:21">
      <c r="T373">
        <v>5266</v>
      </c>
      <c r="U373" t="s">
        <v>977</v>
      </c>
    </row>
    <row r="374" spans="20:21">
      <c r="T374">
        <v>5267</v>
      </c>
      <c r="U374" t="s">
        <v>978</v>
      </c>
    </row>
    <row r="375" spans="20:21">
      <c r="T375">
        <v>5268</v>
      </c>
      <c r="U375" t="s">
        <v>219</v>
      </c>
    </row>
    <row r="376" spans="20:21">
      <c r="T376">
        <v>5269</v>
      </c>
      <c r="U376" t="s">
        <v>979</v>
      </c>
    </row>
    <row r="377" spans="20:21">
      <c r="T377">
        <v>5270</v>
      </c>
      <c r="U377" t="s">
        <v>980</v>
      </c>
    </row>
    <row r="378" spans="20:21">
      <c r="T378">
        <v>2509</v>
      </c>
      <c r="U378" t="s">
        <v>269</v>
      </c>
    </row>
    <row r="379" spans="20:21">
      <c r="T379" t="s">
        <v>466</v>
      </c>
      <c r="U379" t="s">
        <v>230</v>
      </c>
    </row>
    <row r="380" spans="20:21">
      <c r="T380" t="s">
        <v>483</v>
      </c>
      <c r="U380" t="s">
        <v>283</v>
      </c>
    </row>
    <row r="381" spans="20:21">
      <c r="T381" t="s">
        <v>482</v>
      </c>
      <c r="U381" t="s">
        <v>282</v>
      </c>
    </row>
    <row r="382" spans="20:21">
      <c r="T382" t="s">
        <v>981</v>
      </c>
      <c r="U382" t="s">
        <v>982</v>
      </c>
    </row>
    <row r="383" spans="20:21">
      <c r="T383" t="s">
        <v>983</v>
      </c>
      <c r="U383" t="s">
        <v>984</v>
      </c>
    </row>
    <row r="384" spans="20:21">
      <c r="T384" t="s">
        <v>985</v>
      </c>
      <c r="U384" t="s">
        <v>986</v>
      </c>
    </row>
    <row r="385" spans="20:21">
      <c r="T385" t="s">
        <v>475</v>
      </c>
      <c r="U385" t="s">
        <v>271</v>
      </c>
    </row>
    <row r="386" spans="20:21">
      <c r="T386" t="s">
        <v>487</v>
      </c>
      <c r="U386" t="s">
        <v>297</v>
      </c>
    </row>
    <row r="387" spans="20:21">
      <c r="T387" t="s">
        <v>987</v>
      </c>
      <c r="U387" t="s">
        <v>988</v>
      </c>
    </row>
    <row r="388" spans="20:21">
      <c r="T388" t="s">
        <v>989</v>
      </c>
      <c r="U388" t="s">
        <v>990</v>
      </c>
    </row>
    <row r="389" spans="20:21">
      <c r="T389" t="s">
        <v>991</v>
      </c>
      <c r="U389" t="s">
        <v>992</v>
      </c>
    </row>
    <row r="390" spans="20:21">
      <c r="T390" t="s">
        <v>494</v>
      </c>
      <c r="U390" t="s">
        <v>993</v>
      </c>
    </row>
    <row r="391" spans="20:21">
      <c r="T391" t="s">
        <v>476</v>
      </c>
      <c r="U391" t="s">
        <v>272</v>
      </c>
    </row>
    <row r="392" spans="20:21">
      <c r="T392" t="s">
        <v>477</v>
      </c>
      <c r="U392" t="s">
        <v>273</v>
      </c>
    </row>
    <row r="393" spans="20:21">
      <c r="T393" t="s">
        <v>492</v>
      </c>
      <c r="U393" t="s">
        <v>994</v>
      </c>
    </row>
    <row r="394" spans="20:21">
      <c r="T394" s="108" t="s">
        <v>995</v>
      </c>
      <c r="U394" s="109" t="s">
        <v>996</v>
      </c>
    </row>
    <row r="395" spans="20:21">
      <c r="T395" s="119" t="s">
        <v>486</v>
      </c>
      <c r="U395" s="120" t="s">
        <v>286</v>
      </c>
    </row>
    <row r="396" spans="20:21">
      <c r="T396" s="113" t="s">
        <v>488</v>
      </c>
      <c r="U396" s="94" t="s">
        <v>303</v>
      </c>
    </row>
  </sheetData>
  <mergeCells count="1">
    <mergeCell ref="W1:Y1"/>
  </mergeCells>
  <phoneticPr fontId="9" type="noConversion"/>
  <conditionalFormatting sqref="T394:T396">
    <cfRule type="duplicateValues" dxfId="0"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AN102" activePane="bottomRight" state="frozen"/>
      <selection activeCell="AS104" sqref="AS104"/>
      <selection pane="topRight" activeCell="AS104" sqref="AS104"/>
      <selection pane="bottomLeft" activeCell="AS104" sqref="AS104"/>
      <selection pane="bottomRight" activeCell="AS106" sqref="AS106"/>
    </sheetView>
  </sheetViews>
  <sheetFormatPr defaultColWidth="8.7109375" defaultRowHeight="15"/>
  <cols>
    <col min="1" max="1" width="13" style="157" customWidth="1"/>
    <col min="2" max="2" width="12.140625" style="157" customWidth="1"/>
    <col min="3" max="3" width="12.28515625" style="157" customWidth="1"/>
    <col min="4" max="4" width="10.85546875" style="157" customWidth="1"/>
    <col min="5" max="5" width="11.85546875" style="157" bestFit="1" customWidth="1"/>
    <col min="6" max="6" width="10.85546875" style="157" bestFit="1" customWidth="1"/>
    <col min="7" max="7" width="11.85546875" style="157" bestFit="1" customWidth="1"/>
    <col min="8" max="13" width="10.85546875" style="157" bestFit="1" customWidth="1"/>
    <col min="14" max="14" width="11.85546875" style="157" bestFit="1" customWidth="1"/>
    <col min="15" max="16" width="10.85546875" style="157" bestFit="1" customWidth="1"/>
    <col min="17" max="22" width="11.85546875" style="157" bestFit="1" customWidth="1"/>
    <col min="23" max="24" width="10.85546875" style="157" bestFit="1" customWidth="1"/>
    <col min="25" max="29" width="11.85546875" style="157" bestFit="1" customWidth="1"/>
    <col min="30" max="31" width="10.85546875" style="157" bestFit="1" customWidth="1"/>
    <col min="32" max="32" width="9.42578125" style="157" bestFit="1" customWidth="1"/>
    <col min="33" max="33" width="11.85546875" style="157" bestFit="1" customWidth="1"/>
    <col min="34" max="34" width="9.42578125" style="157" bestFit="1" customWidth="1"/>
    <col min="35" max="35" width="11.85546875" style="157" bestFit="1" customWidth="1"/>
    <col min="36" max="37" width="10.85546875" style="157" bestFit="1" customWidth="1"/>
    <col min="38" max="39" width="11.85546875" style="157" bestFit="1" customWidth="1"/>
    <col min="40" max="40" width="10.5703125" style="157" bestFit="1" customWidth="1"/>
    <col min="41" max="41" width="11.85546875" style="157" bestFit="1" customWidth="1"/>
    <col min="42" max="42" width="10.85546875" style="157" bestFit="1" customWidth="1"/>
    <col min="43" max="43" width="11.85546875" style="157" bestFit="1" customWidth="1"/>
    <col min="44" max="44" width="10.5703125" style="157" bestFit="1" customWidth="1"/>
    <col min="45" max="45" width="58.28515625" style="157" bestFit="1" customWidth="1"/>
    <col min="46" max="16384" width="8.7109375" style="157"/>
  </cols>
  <sheetData>
    <row r="1" spans="1:45">
      <c r="A1" s="157">
        <v>1</v>
      </c>
      <c r="B1" s="157">
        <f>A1+1</f>
        <v>2</v>
      </c>
      <c r="C1" s="157">
        <f t="shared" ref="C1:AR1" si="0">B1+1</f>
        <v>3</v>
      </c>
      <c r="D1" s="157">
        <f t="shared" si="0"/>
        <v>4</v>
      </c>
      <c r="E1" s="157">
        <f t="shared" si="0"/>
        <v>5</v>
      </c>
      <c r="F1" s="157">
        <f t="shared" si="0"/>
        <v>6</v>
      </c>
      <c r="G1" s="157">
        <f t="shared" si="0"/>
        <v>7</v>
      </c>
      <c r="H1" s="157">
        <f t="shared" si="0"/>
        <v>8</v>
      </c>
      <c r="I1" s="157">
        <f t="shared" si="0"/>
        <v>9</v>
      </c>
      <c r="J1" s="157">
        <f t="shared" si="0"/>
        <v>10</v>
      </c>
      <c r="K1" s="157">
        <f t="shared" si="0"/>
        <v>11</v>
      </c>
      <c r="L1" s="157">
        <f t="shared" si="0"/>
        <v>12</v>
      </c>
      <c r="M1" s="157">
        <f t="shared" si="0"/>
        <v>13</v>
      </c>
      <c r="N1" s="157">
        <f t="shared" si="0"/>
        <v>14</v>
      </c>
      <c r="O1" s="157">
        <f t="shared" si="0"/>
        <v>15</v>
      </c>
      <c r="P1" s="157">
        <f t="shared" si="0"/>
        <v>16</v>
      </c>
      <c r="Q1" s="157">
        <f t="shared" si="0"/>
        <v>17</v>
      </c>
      <c r="R1" s="157">
        <f t="shared" si="0"/>
        <v>18</v>
      </c>
      <c r="S1" s="157">
        <f t="shared" si="0"/>
        <v>19</v>
      </c>
      <c r="T1" s="157">
        <f t="shared" si="0"/>
        <v>20</v>
      </c>
      <c r="U1" s="157">
        <f t="shared" si="0"/>
        <v>21</v>
      </c>
      <c r="V1" s="157">
        <f t="shared" si="0"/>
        <v>22</v>
      </c>
      <c r="W1" s="157">
        <f t="shared" si="0"/>
        <v>23</v>
      </c>
      <c r="X1" s="157">
        <f t="shared" si="0"/>
        <v>24</v>
      </c>
      <c r="Y1" s="157">
        <f t="shared" si="0"/>
        <v>25</v>
      </c>
      <c r="Z1" s="157">
        <f t="shared" si="0"/>
        <v>26</v>
      </c>
      <c r="AA1" s="157">
        <f t="shared" si="0"/>
        <v>27</v>
      </c>
      <c r="AB1" s="157">
        <f t="shared" si="0"/>
        <v>28</v>
      </c>
      <c r="AC1" s="157">
        <f t="shared" si="0"/>
        <v>29</v>
      </c>
      <c r="AD1" s="157">
        <f t="shared" si="0"/>
        <v>30</v>
      </c>
      <c r="AE1" s="157">
        <f t="shared" si="0"/>
        <v>31</v>
      </c>
      <c r="AF1" s="157">
        <f t="shared" si="0"/>
        <v>32</v>
      </c>
      <c r="AG1" s="157">
        <f t="shared" si="0"/>
        <v>33</v>
      </c>
      <c r="AH1" s="157">
        <f t="shared" si="0"/>
        <v>34</v>
      </c>
      <c r="AI1" s="157">
        <f t="shared" si="0"/>
        <v>35</v>
      </c>
      <c r="AJ1" s="157">
        <f t="shared" si="0"/>
        <v>36</v>
      </c>
      <c r="AK1" s="157">
        <f t="shared" si="0"/>
        <v>37</v>
      </c>
      <c r="AL1" s="157">
        <f t="shared" si="0"/>
        <v>38</v>
      </c>
      <c r="AM1" s="157">
        <f t="shared" si="0"/>
        <v>39</v>
      </c>
      <c r="AN1" s="157">
        <f t="shared" si="0"/>
        <v>40</v>
      </c>
      <c r="AO1" s="157">
        <f t="shared" si="0"/>
        <v>41</v>
      </c>
      <c r="AP1" s="157">
        <f t="shared" si="0"/>
        <v>42</v>
      </c>
      <c r="AQ1" s="157">
        <f t="shared" si="0"/>
        <v>43</v>
      </c>
      <c r="AR1" s="157">
        <f t="shared" si="0"/>
        <v>44</v>
      </c>
    </row>
    <row r="2" spans="1:45" ht="36.950000000000003" customHeight="1">
      <c r="A2" s="158" t="s">
        <v>73</v>
      </c>
      <c r="B2" s="131" t="s">
        <v>3</v>
      </c>
      <c r="C2" s="131" t="s">
        <v>74</v>
      </c>
      <c r="D2" s="131"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31" t="s">
        <v>613</v>
      </c>
      <c r="AS2" s="131" t="s">
        <v>380</v>
      </c>
    </row>
    <row r="3" spans="1:45">
      <c r="A3" s="160">
        <v>45745</v>
      </c>
      <c r="B3" s="157">
        <f>YEAR(Table7[[#This Row],[Date]])+IF(MONTH(Table7[[#This Row],[Date]])&gt;=4,1,0)</f>
        <v>2025</v>
      </c>
      <c r="C3" s="157">
        <f>YEAR(Table7[[#This Row],[Date]])</f>
        <v>2025</v>
      </c>
      <c r="D3" s="159">
        <f t="shared" ref="D3:D35" si="1">A3-DAY(A3)+1</f>
        <v>45717</v>
      </c>
      <c r="AR3" s="157">
        <f t="shared" ref="AR3:AR66" si="2">SUM(E3:AQ3)</f>
        <v>0</v>
      </c>
    </row>
    <row r="4" spans="1:45">
      <c r="A4" s="160">
        <f t="shared" ref="A4:A37" si="3">A3+1</f>
        <v>45746</v>
      </c>
      <c r="B4" s="157">
        <f>YEAR(Table7[[#This Row],[Date]])+IF(MONTH(Table7[[#This Row],[Date]])&gt;=4,1,0)</f>
        <v>2025</v>
      </c>
      <c r="C4" s="157">
        <f>YEAR(Table7[[#This Row],[Date]])</f>
        <v>2025</v>
      </c>
      <c r="D4" s="159">
        <f t="shared" si="1"/>
        <v>45717</v>
      </c>
      <c r="AR4" s="157">
        <f t="shared" si="2"/>
        <v>0</v>
      </c>
    </row>
    <row r="5" spans="1:45">
      <c r="A5" s="160">
        <f t="shared" si="3"/>
        <v>45747</v>
      </c>
      <c r="B5" s="157">
        <f>YEAR(Table7[[#This Row],[Date]])+IF(MONTH(Table7[[#This Row],[Date]])&gt;=4,1,0)</f>
        <v>2025</v>
      </c>
      <c r="C5" s="157">
        <f>YEAR(Table7[[#This Row],[Date]])</f>
        <v>2025</v>
      </c>
      <c r="D5" s="159">
        <f t="shared" si="1"/>
        <v>45717</v>
      </c>
      <c r="E5" s="162">
        <v>2411.4870499999997</v>
      </c>
      <c r="F5" s="162">
        <v>891.6197333333331</v>
      </c>
      <c r="G5" s="162">
        <v>1879.9699166666667</v>
      </c>
      <c r="H5" s="162">
        <v>874.26264999999989</v>
      </c>
      <c r="I5" s="162">
        <v>880.47126666666634</v>
      </c>
      <c r="J5" s="162">
        <v>636.22654999999975</v>
      </c>
      <c r="K5" s="162">
        <v>372.88330000000008</v>
      </c>
      <c r="L5" s="162">
        <v>641.51903333333337</v>
      </c>
      <c r="M5" s="162">
        <v>906.08874999999966</v>
      </c>
      <c r="N5" s="162">
        <v>2260.3940000000007</v>
      </c>
      <c r="O5" s="162">
        <v>383.09098333333333</v>
      </c>
      <c r="P5" s="162">
        <v>377.68645000000021</v>
      </c>
      <c r="Q5" s="162">
        <v>2175.7977833333325</v>
      </c>
      <c r="R5" s="162">
        <v>1993.9216333333334</v>
      </c>
      <c r="S5" s="162">
        <v>1758.4656500000006</v>
      </c>
      <c r="T5" s="162">
        <v>2234.110716666667</v>
      </c>
      <c r="U5" s="162">
        <v>1964.6706833333335</v>
      </c>
      <c r="V5" s="162">
        <v>2190.6097833333329</v>
      </c>
      <c r="W5" s="162">
        <v>441.97923333333341</v>
      </c>
      <c r="X5" s="162">
        <v>670.5095333333328</v>
      </c>
      <c r="Y5" s="162">
        <v>1570.8375833333334</v>
      </c>
      <c r="Z5" s="162">
        <v>1180.1706999999994</v>
      </c>
      <c r="AA5" s="162">
        <v>1761.4244000000006</v>
      </c>
      <c r="AB5" s="162">
        <v>999.70584999999994</v>
      </c>
      <c r="AC5" s="162">
        <v>1757.0460333333331</v>
      </c>
      <c r="AD5" s="162">
        <v>677.21181666666666</v>
      </c>
      <c r="AE5" s="162">
        <v>333.81999999999994</v>
      </c>
      <c r="AF5" s="162">
        <v>0</v>
      </c>
      <c r="AG5" s="162">
        <v>1635.0767333333333</v>
      </c>
      <c r="AH5" s="162">
        <v>0</v>
      </c>
      <c r="AI5" s="162">
        <v>1909.0220500000016</v>
      </c>
      <c r="AJ5" s="162">
        <v>573.77486666666687</v>
      </c>
      <c r="AK5" s="162">
        <v>742.58261666666658</v>
      </c>
      <c r="AL5" s="162">
        <v>1713.1288333333325</v>
      </c>
      <c r="AM5" s="162">
        <v>1709.3144666666656</v>
      </c>
      <c r="AN5" s="162">
        <v>-8.1558666666666682</v>
      </c>
      <c r="AO5" s="162">
        <v>2496.8773666666675</v>
      </c>
      <c r="AP5" s="162">
        <v>783.47119999999995</v>
      </c>
      <c r="AQ5" s="162">
        <v>2020.9579999999989</v>
      </c>
      <c r="AR5" s="162">
        <f t="shared" si="2"/>
        <v>47802.031349999997</v>
      </c>
    </row>
    <row r="6" spans="1:45">
      <c r="A6" s="160">
        <f t="shared" si="3"/>
        <v>45748</v>
      </c>
      <c r="B6" s="157">
        <f>YEAR(Table7[[#This Row],[Date]])+IF(MONTH(Table7[[#This Row],[Date]])&gt;=4,1,0)</f>
        <v>2026</v>
      </c>
      <c r="C6" s="157">
        <f>YEAR(Table7[[#This Row],[Date]])</f>
        <v>2025</v>
      </c>
      <c r="D6" s="159">
        <f t="shared" si="1"/>
        <v>45748</v>
      </c>
      <c r="E6" s="162">
        <v>2322.1235499999998</v>
      </c>
      <c r="F6" s="162">
        <v>880.10806666666656</v>
      </c>
      <c r="G6" s="162">
        <v>2078.5867166666671</v>
      </c>
      <c r="H6" s="162">
        <v>914.56948333333321</v>
      </c>
      <c r="I6" s="162">
        <v>945.84553333333304</v>
      </c>
      <c r="J6" s="162">
        <v>637.99238333333312</v>
      </c>
      <c r="K6" s="162">
        <v>748.2189666666668</v>
      </c>
      <c r="L6" s="162">
        <v>777.13608333333354</v>
      </c>
      <c r="M6" s="162">
        <v>722.79674999999997</v>
      </c>
      <c r="N6" s="162">
        <v>2126.2865000000006</v>
      </c>
      <c r="O6" s="162">
        <v>729.45748333333324</v>
      </c>
      <c r="P6" s="162">
        <v>657.0716166666665</v>
      </c>
      <c r="Q6" s="162">
        <v>2115.4739999999993</v>
      </c>
      <c r="R6" s="162">
        <v>1806.1051666666663</v>
      </c>
      <c r="S6" s="162">
        <v>1979.2855000000009</v>
      </c>
      <c r="T6" s="162">
        <v>2123.0250500000006</v>
      </c>
      <c r="U6" s="162">
        <v>2192.0195166666672</v>
      </c>
      <c r="V6" s="162">
        <v>2109.1037833333339</v>
      </c>
      <c r="W6" s="162">
        <v>708.92223333333322</v>
      </c>
      <c r="X6" s="162">
        <v>620.74770000000001</v>
      </c>
      <c r="Y6" s="162">
        <v>1738.0668333333324</v>
      </c>
      <c r="Z6" s="162">
        <v>1166.9419333333326</v>
      </c>
      <c r="AA6" s="162">
        <v>1782.3726999999997</v>
      </c>
      <c r="AB6" s="162">
        <v>1210.9576333333332</v>
      </c>
      <c r="AC6" s="162">
        <v>1935.1738833333332</v>
      </c>
      <c r="AD6" s="162">
        <v>703.62876666666671</v>
      </c>
      <c r="AE6" s="162">
        <v>551.59069999999974</v>
      </c>
      <c r="AF6" s="162">
        <v>0</v>
      </c>
      <c r="AG6" s="162">
        <v>1232.2376166666668</v>
      </c>
      <c r="AH6" s="162">
        <v>0</v>
      </c>
      <c r="AI6" s="162">
        <v>1843.6910000000007</v>
      </c>
      <c r="AJ6" s="162">
        <v>697.05603333333363</v>
      </c>
      <c r="AK6" s="162">
        <v>823.11351666666633</v>
      </c>
      <c r="AL6" s="162">
        <v>1362.1450333333332</v>
      </c>
      <c r="AM6" s="162">
        <v>1053.6382666666661</v>
      </c>
      <c r="AN6" s="162">
        <v>-3.8062333333333314</v>
      </c>
      <c r="AO6" s="162">
        <v>2338.373583333333</v>
      </c>
      <c r="AP6" s="162">
        <v>824.4840833333335</v>
      </c>
      <c r="AQ6" s="162">
        <v>1543.8372499999984</v>
      </c>
      <c r="AR6" s="162">
        <f t="shared" si="2"/>
        <v>47998.378683333336</v>
      </c>
    </row>
    <row r="7" spans="1:45">
      <c r="A7" s="160">
        <f t="shared" si="3"/>
        <v>45749</v>
      </c>
      <c r="B7" s="157">
        <f>YEAR(Table7[[#This Row],[Date]])+IF(MONTH(Table7[[#This Row],[Date]])&gt;=4,1,0)</f>
        <v>2026</v>
      </c>
      <c r="C7" s="157">
        <f>YEAR(Table7[[#This Row],[Date]])</f>
        <v>2025</v>
      </c>
      <c r="D7" s="159">
        <f t="shared" si="1"/>
        <v>45748</v>
      </c>
      <c r="E7" s="162">
        <v>2637.2191999999995</v>
      </c>
      <c r="F7" s="162">
        <v>1097.0692166666668</v>
      </c>
      <c r="G7" s="162">
        <v>2227.8404333333347</v>
      </c>
      <c r="H7" s="162">
        <v>923.74158333333287</v>
      </c>
      <c r="I7" s="162">
        <v>938.26825000000008</v>
      </c>
      <c r="J7" s="162">
        <v>1297.9406499999998</v>
      </c>
      <c r="K7" s="162">
        <v>808.49928333333344</v>
      </c>
      <c r="L7" s="162">
        <v>1289.6567333333326</v>
      </c>
      <c r="M7" s="162">
        <v>1427.0630333333338</v>
      </c>
      <c r="N7" s="162">
        <v>2544.8210333333336</v>
      </c>
      <c r="O7" s="162">
        <v>855.78409999999985</v>
      </c>
      <c r="P7" s="162">
        <v>904.24945000000048</v>
      </c>
      <c r="Q7" s="162">
        <v>2402.8841500000003</v>
      </c>
      <c r="R7" s="162">
        <v>2695.9842833333341</v>
      </c>
      <c r="S7" s="162">
        <v>2431.9186666666665</v>
      </c>
      <c r="T7" s="162">
        <v>2122.2456166666657</v>
      </c>
      <c r="U7" s="162">
        <v>2309.701666666665</v>
      </c>
      <c r="V7" s="162">
        <v>3275.5916500000003</v>
      </c>
      <c r="W7" s="162">
        <v>852.78766666666684</v>
      </c>
      <c r="X7" s="162">
        <v>1820.6795833333335</v>
      </c>
      <c r="Y7" s="162">
        <v>2426.1540000000005</v>
      </c>
      <c r="Z7" s="162">
        <v>491.63286666666676</v>
      </c>
      <c r="AA7" s="162">
        <v>2794.5913999999998</v>
      </c>
      <c r="AB7" s="162">
        <v>1860.944666666667</v>
      </c>
      <c r="AC7" s="162">
        <v>2885.903716666664</v>
      </c>
      <c r="AD7" s="162">
        <v>1148.8613833333334</v>
      </c>
      <c r="AE7" s="162">
        <v>1083.9292500000004</v>
      </c>
      <c r="AF7" s="162">
        <v>0</v>
      </c>
      <c r="AG7" s="162">
        <v>2614.3131833333332</v>
      </c>
      <c r="AH7" s="162">
        <v>0</v>
      </c>
      <c r="AI7" s="162">
        <v>823.28438333333304</v>
      </c>
      <c r="AJ7" s="162">
        <v>1097.6119666666666</v>
      </c>
      <c r="AK7" s="162">
        <v>1182.3386833333338</v>
      </c>
      <c r="AL7" s="162">
        <v>2677.0024833333332</v>
      </c>
      <c r="AM7" s="162">
        <v>2930.4442166666659</v>
      </c>
      <c r="AN7" s="162">
        <v>-5.8060333333333292</v>
      </c>
      <c r="AO7" s="162">
        <v>3280.2776833333332</v>
      </c>
      <c r="AP7" s="162">
        <v>1180.1251500000005</v>
      </c>
      <c r="AQ7" s="162">
        <v>2777.1324499999987</v>
      </c>
      <c r="AR7" s="162">
        <f t="shared" si="2"/>
        <v>66112.68769999998</v>
      </c>
    </row>
    <row r="8" spans="1:45">
      <c r="A8" s="160">
        <f t="shared" si="3"/>
        <v>45750</v>
      </c>
      <c r="B8" s="157">
        <f>YEAR(Table7[[#This Row],[Date]])+IF(MONTH(Table7[[#This Row],[Date]])&gt;=4,1,0)</f>
        <v>2026</v>
      </c>
      <c r="C8" s="157">
        <f>YEAR(Table7[[#This Row],[Date]])</f>
        <v>2025</v>
      </c>
      <c r="D8" s="159">
        <f t="shared" si="1"/>
        <v>45748</v>
      </c>
      <c r="E8" s="162">
        <v>2246.2058333333325</v>
      </c>
      <c r="F8" s="162">
        <v>999.87633333333338</v>
      </c>
      <c r="G8" s="162">
        <v>2226.0731666666666</v>
      </c>
      <c r="H8" s="162">
        <v>964.80133333333345</v>
      </c>
      <c r="I8" s="162">
        <v>886.52666666666698</v>
      </c>
      <c r="J8" s="162">
        <v>310.4274999999999</v>
      </c>
      <c r="K8" s="162">
        <v>434.63866666666689</v>
      </c>
      <c r="L8" s="162">
        <v>696.49183333333326</v>
      </c>
      <c r="M8" s="162">
        <v>942.52483333333339</v>
      </c>
      <c r="N8" s="162">
        <v>2164.4180000000001</v>
      </c>
      <c r="O8" s="162">
        <v>725.64800000000002</v>
      </c>
      <c r="P8" s="162">
        <v>756.46233333333282</v>
      </c>
      <c r="Q8" s="162">
        <v>2369.3390000000004</v>
      </c>
      <c r="R8" s="162">
        <v>2369.0811666666673</v>
      </c>
      <c r="S8" s="162">
        <v>2227.3578333333335</v>
      </c>
      <c r="T8" s="162">
        <v>2284.8012833333328</v>
      </c>
      <c r="U8" s="162">
        <v>2242.3959999999993</v>
      </c>
      <c r="V8" s="162">
        <v>2133.467783333334</v>
      </c>
      <c r="W8" s="162">
        <v>722.12803333333352</v>
      </c>
      <c r="X8" s="162">
        <v>931.43303333333336</v>
      </c>
      <c r="Y8" s="162">
        <v>2229.9002000000005</v>
      </c>
      <c r="Z8" s="162">
        <v>1362.7018499999995</v>
      </c>
      <c r="AA8" s="162">
        <v>2262.5321833333333</v>
      </c>
      <c r="AB8" s="162">
        <v>1064.1639833333334</v>
      </c>
      <c r="AC8" s="162">
        <v>2218.1311333333329</v>
      </c>
      <c r="AD8" s="162">
        <v>670.96758333333332</v>
      </c>
      <c r="AE8" s="162">
        <v>487.78051666666653</v>
      </c>
      <c r="AF8" s="162">
        <v>0</v>
      </c>
      <c r="AG8" s="162">
        <v>1891.0716666666667</v>
      </c>
      <c r="AH8" s="162">
        <v>0</v>
      </c>
      <c r="AI8" s="162">
        <v>1266.728983333333</v>
      </c>
      <c r="AJ8" s="162">
        <v>571.09806666666668</v>
      </c>
      <c r="AK8" s="162">
        <v>344.84358333333336</v>
      </c>
      <c r="AL8" s="162">
        <v>2159.9288833333335</v>
      </c>
      <c r="AM8" s="162">
        <v>2167.4362666666666</v>
      </c>
      <c r="AN8" s="162">
        <v>-0.62418333333333365</v>
      </c>
      <c r="AO8" s="162">
        <v>1525.8424000000002</v>
      </c>
      <c r="AP8" s="162">
        <v>613.24250000000018</v>
      </c>
      <c r="AQ8" s="162">
        <v>2334.2306166666667</v>
      </c>
      <c r="AR8" s="162">
        <f t="shared" si="2"/>
        <v>51804.07486666667</v>
      </c>
    </row>
    <row r="9" spans="1:45">
      <c r="A9" s="160">
        <f t="shared" si="3"/>
        <v>45751</v>
      </c>
      <c r="B9" s="157">
        <f>YEAR(Table7[[#This Row],[Date]])+IF(MONTH(Table7[[#This Row],[Date]])&gt;=4,1,0)</f>
        <v>2026</v>
      </c>
      <c r="C9" s="157">
        <f>YEAR(Table7[[#This Row],[Date]])</f>
        <v>2025</v>
      </c>
      <c r="D9" s="159">
        <f t="shared" si="1"/>
        <v>45748</v>
      </c>
      <c r="E9" s="162">
        <v>2041.9637666666672</v>
      </c>
      <c r="F9" s="162">
        <v>388.95508333333333</v>
      </c>
      <c r="G9" s="162">
        <v>2124.0230499999998</v>
      </c>
      <c r="H9" s="162">
        <v>127.74198333333328</v>
      </c>
      <c r="I9" s="162">
        <v>918.12168333333295</v>
      </c>
      <c r="J9" s="162">
        <v>83.673766666666666</v>
      </c>
      <c r="K9" s="162">
        <v>539.66433333333327</v>
      </c>
      <c r="L9" s="162">
        <v>499.35776666666669</v>
      </c>
      <c r="M9" s="162">
        <v>465.22986666666651</v>
      </c>
      <c r="N9" s="162">
        <v>2022.4021666666672</v>
      </c>
      <c r="O9" s="162">
        <v>707.97529999999972</v>
      </c>
      <c r="P9" s="162">
        <v>724.69014999999956</v>
      </c>
      <c r="Q9" s="162">
        <v>1884.7469666666668</v>
      </c>
      <c r="R9" s="162">
        <v>2115.7314333333338</v>
      </c>
      <c r="S9" s="162">
        <v>2050.1539666666672</v>
      </c>
      <c r="T9" s="162">
        <v>111.51305000000001</v>
      </c>
      <c r="U9" s="162">
        <v>2221.5963333333339</v>
      </c>
      <c r="V9" s="162">
        <v>2113.498000000001</v>
      </c>
      <c r="W9" s="162">
        <v>747.05383333333327</v>
      </c>
      <c r="X9" s="162">
        <v>736.91550000000007</v>
      </c>
      <c r="Y9" s="162">
        <v>2084.2164333333344</v>
      </c>
      <c r="Z9" s="162">
        <v>1478.5471666666667</v>
      </c>
      <c r="AA9" s="162">
        <v>1975.435833333333</v>
      </c>
      <c r="AB9" s="162">
        <v>888.96533333333355</v>
      </c>
      <c r="AC9" s="162">
        <v>2010.7748333333336</v>
      </c>
      <c r="AD9" s="162">
        <v>476.84566666666626</v>
      </c>
      <c r="AE9" s="162">
        <v>507.57683333333313</v>
      </c>
      <c r="AF9" s="162">
        <v>0</v>
      </c>
      <c r="AG9" s="162">
        <v>2028.1924999999997</v>
      </c>
      <c r="AH9" s="162">
        <v>0</v>
      </c>
      <c r="AI9" s="162">
        <v>1944.1858333333334</v>
      </c>
      <c r="AJ9" s="162">
        <v>451.6691666666664</v>
      </c>
      <c r="AK9" s="162">
        <v>93.741333333333316</v>
      </c>
      <c r="AL9" s="162">
        <v>1857.9228333333333</v>
      </c>
      <c r="AM9" s="162">
        <v>2067.6373333333327</v>
      </c>
      <c r="AN9" s="162">
        <v>-2.4656666666666665</v>
      </c>
      <c r="AO9" s="162">
        <v>2138.7909166666677</v>
      </c>
      <c r="AP9" s="162">
        <v>441.67098333333314</v>
      </c>
      <c r="AQ9" s="162">
        <v>2200.4018333333338</v>
      </c>
      <c r="AR9" s="162">
        <f t="shared" si="2"/>
        <v>45269.117166666671</v>
      </c>
    </row>
    <row r="10" spans="1:45">
      <c r="A10" s="160">
        <f t="shared" si="3"/>
        <v>45752</v>
      </c>
      <c r="B10" s="157">
        <f>YEAR(Table7[[#This Row],[Date]])+IF(MONTH(Table7[[#This Row],[Date]])&gt;=4,1,0)</f>
        <v>2026</v>
      </c>
      <c r="C10" s="157">
        <f>YEAR(Table7[[#This Row],[Date]])</f>
        <v>2025</v>
      </c>
      <c r="D10" s="159">
        <f t="shared" si="1"/>
        <v>45748</v>
      </c>
      <c r="E10" s="162">
        <v>1876.6225833333326</v>
      </c>
      <c r="F10" s="162">
        <v>2453.1843333333345</v>
      </c>
      <c r="G10" s="162">
        <v>1792.9483333333339</v>
      </c>
      <c r="H10" s="162">
        <v>2211.3510000000019</v>
      </c>
      <c r="I10" s="162">
        <v>1764.4128166666674</v>
      </c>
      <c r="J10" s="162">
        <v>1666.3205000000007</v>
      </c>
      <c r="K10" s="162">
        <v>1910.9348333333332</v>
      </c>
      <c r="L10" s="162">
        <v>2018.7831999999994</v>
      </c>
      <c r="M10" s="162">
        <v>1635.861333333334</v>
      </c>
      <c r="N10" s="162">
        <v>1357.6993333333339</v>
      </c>
      <c r="O10" s="162">
        <v>1716.0804999999998</v>
      </c>
      <c r="P10" s="162">
        <v>1716.4269999999992</v>
      </c>
      <c r="Q10" s="162">
        <v>1822.3371166666673</v>
      </c>
      <c r="R10" s="162">
        <v>1593.3716666666669</v>
      </c>
      <c r="S10" s="162">
        <v>1444.4011666666656</v>
      </c>
      <c r="T10" s="162">
        <v>0</v>
      </c>
      <c r="U10" s="162">
        <v>2021.6524999999995</v>
      </c>
      <c r="V10" s="162">
        <v>2078.9626666666668</v>
      </c>
      <c r="W10" s="162">
        <v>2082.5694999999996</v>
      </c>
      <c r="X10" s="162">
        <v>2121.1534999999999</v>
      </c>
      <c r="Y10" s="162">
        <v>2701.0488333333342</v>
      </c>
      <c r="Z10" s="162">
        <v>2515.4811166666677</v>
      </c>
      <c r="AA10" s="162">
        <v>2220.826716666666</v>
      </c>
      <c r="AB10" s="162">
        <v>1930.8067166666656</v>
      </c>
      <c r="AC10" s="162">
        <v>2949.734966666666</v>
      </c>
      <c r="AD10" s="162">
        <v>1640.4507833333346</v>
      </c>
      <c r="AE10" s="162">
        <v>2557.8495500000008</v>
      </c>
      <c r="AF10" s="162">
        <v>0</v>
      </c>
      <c r="AG10" s="162">
        <v>2950.7668333333331</v>
      </c>
      <c r="AH10" s="162">
        <v>0</v>
      </c>
      <c r="AI10" s="162">
        <v>2629.0588666666667</v>
      </c>
      <c r="AJ10" s="162">
        <v>2369.3688500000012</v>
      </c>
      <c r="AK10" s="162">
        <v>2486.7690833333345</v>
      </c>
      <c r="AL10" s="162">
        <v>3025.3162166666657</v>
      </c>
      <c r="AM10" s="162">
        <v>2939.6088833333301</v>
      </c>
      <c r="AN10" s="162">
        <v>3016.1374499999988</v>
      </c>
      <c r="AO10" s="162">
        <v>2372.7200666666658</v>
      </c>
      <c r="AP10" s="162">
        <v>0</v>
      </c>
      <c r="AQ10" s="162">
        <v>2927.9751833333344</v>
      </c>
      <c r="AR10" s="162">
        <f t="shared" si="2"/>
        <v>76518.993999999977</v>
      </c>
    </row>
    <row r="11" spans="1:45">
      <c r="A11" s="160">
        <f t="shared" si="3"/>
        <v>45753</v>
      </c>
      <c r="B11" s="157">
        <f>YEAR(Table7[[#This Row],[Date]])+IF(MONTH(Table7[[#This Row],[Date]])&gt;=4,1,0)</f>
        <v>2026</v>
      </c>
      <c r="C11" s="157">
        <f>YEAR(Table7[[#This Row],[Date]])</f>
        <v>2025</v>
      </c>
      <c r="D11" s="159">
        <f t="shared" si="1"/>
        <v>45748</v>
      </c>
      <c r="E11" s="162">
        <v>1810.34755</v>
      </c>
      <c r="F11" s="162">
        <v>373.70601666666664</v>
      </c>
      <c r="G11" s="162">
        <v>2124.0685833333337</v>
      </c>
      <c r="H11" s="162">
        <v>120.35206666666654</v>
      </c>
      <c r="I11" s="162">
        <v>0</v>
      </c>
      <c r="J11" s="162">
        <v>372.11098333333342</v>
      </c>
      <c r="K11" s="162">
        <v>634.79501666666658</v>
      </c>
      <c r="L11" s="162">
        <v>349.2979666666667</v>
      </c>
      <c r="M11" s="162">
        <v>288.82096666666661</v>
      </c>
      <c r="N11" s="162">
        <v>1822.0808666666658</v>
      </c>
      <c r="O11" s="162">
        <v>624.64033333333373</v>
      </c>
      <c r="P11" s="162">
        <v>638.45799999999986</v>
      </c>
      <c r="Q11" s="162">
        <v>1762.0523166666662</v>
      </c>
      <c r="R11" s="162">
        <v>1807.9779999999989</v>
      </c>
      <c r="S11" s="162">
        <v>1542.3583999999998</v>
      </c>
      <c r="T11" s="162">
        <v>0</v>
      </c>
      <c r="U11" s="162">
        <v>2143.8435000000004</v>
      </c>
      <c r="V11" s="162">
        <v>1837.324666666666</v>
      </c>
      <c r="W11" s="162">
        <v>647.14899999999989</v>
      </c>
      <c r="X11" s="162">
        <v>444.1511666666666</v>
      </c>
      <c r="Y11" s="162">
        <v>2084.2164333333344</v>
      </c>
      <c r="Z11" s="162">
        <v>1478.5471666666667</v>
      </c>
      <c r="AA11" s="162">
        <v>1975.435833333333</v>
      </c>
      <c r="AB11" s="162">
        <v>888.96533333333355</v>
      </c>
      <c r="AC11" s="162">
        <v>2010.7748333333336</v>
      </c>
      <c r="AD11" s="162">
        <v>476.84566666666626</v>
      </c>
      <c r="AE11" s="162">
        <v>507.57683333333313</v>
      </c>
      <c r="AF11" s="162">
        <v>0</v>
      </c>
      <c r="AG11" s="162">
        <v>2028.1924999999997</v>
      </c>
      <c r="AH11" s="162">
        <v>0</v>
      </c>
      <c r="AI11" s="162">
        <v>1944.1858333333334</v>
      </c>
      <c r="AJ11" s="162">
        <v>451.6691666666664</v>
      </c>
      <c r="AK11" s="162">
        <v>93.741333333333316</v>
      </c>
      <c r="AL11" s="162">
        <v>1857.9228333333333</v>
      </c>
      <c r="AM11" s="162">
        <v>2067.6373333333327</v>
      </c>
      <c r="AN11" s="162">
        <v>2145</v>
      </c>
      <c r="AO11" s="162">
        <v>2138.7909166666677</v>
      </c>
      <c r="AP11" s="162">
        <v>441.67098333333314</v>
      </c>
      <c r="AQ11" s="162">
        <v>2200.4018333333338</v>
      </c>
      <c r="AR11" s="162">
        <f t="shared" si="2"/>
        <v>44135.110233333326</v>
      </c>
    </row>
    <row r="12" spans="1:45">
      <c r="A12" s="160">
        <f t="shared" si="3"/>
        <v>45754</v>
      </c>
      <c r="B12" s="157">
        <f>YEAR(Table7[[#This Row],[Date]])+IF(MONTH(Table7[[#This Row],[Date]])&gt;=4,1,0)</f>
        <v>2026</v>
      </c>
      <c r="C12" s="157">
        <f>YEAR(Table7[[#This Row],[Date]])</f>
        <v>2025</v>
      </c>
      <c r="D12" s="159">
        <f t="shared" si="1"/>
        <v>45748</v>
      </c>
      <c r="E12" s="162">
        <v>1891.7157500000003</v>
      </c>
      <c r="F12" s="162">
        <v>673.00799999999992</v>
      </c>
      <c r="G12" s="162">
        <v>2044.8962499999991</v>
      </c>
      <c r="H12" s="162">
        <v>479.92388333333338</v>
      </c>
      <c r="I12" s="162">
        <v>258.39031666666659</v>
      </c>
      <c r="J12" s="162">
        <v>586.39596666666648</v>
      </c>
      <c r="K12" s="162">
        <v>540.29575</v>
      </c>
      <c r="L12" s="162">
        <v>662.54766666666649</v>
      </c>
      <c r="M12" s="162">
        <v>457.55814999999996</v>
      </c>
      <c r="N12" s="162">
        <v>2060.9708000000005</v>
      </c>
      <c r="O12" s="162">
        <v>700.00543333333292</v>
      </c>
      <c r="P12" s="162">
        <v>762.46244999999999</v>
      </c>
      <c r="Q12" s="162">
        <v>2042.7491833333329</v>
      </c>
      <c r="R12" s="162">
        <v>2029.67965</v>
      </c>
      <c r="S12" s="162">
        <v>1694.1446000000005</v>
      </c>
      <c r="T12" s="162">
        <v>0</v>
      </c>
      <c r="U12" s="162">
        <v>2094.733883333332</v>
      </c>
      <c r="V12" s="162">
        <v>2125.3132833333334</v>
      </c>
      <c r="W12" s="162">
        <v>720.47644999999989</v>
      </c>
      <c r="X12" s="162">
        <v>1004.4538666666668</v>
      </c>
      <c r="Y12" s="162">
        <v>944.46948333333319</v>
      </c>
      <c r="Z12" s="162">
        <v>597.19669999999974</v>
      </c>
      <c r="AA12" s="162">
        <v>720.93865000000005</v>
      </c>
      <c r="AB12" s="162">
        <v>16.865766666666666</v>
      </c>
      <c r="AC12" s="162">
        <v>702.99058333333335</v>
      </c>
      <c r="AD12" s="162">
        <v>165.73039999999995</v>
      </c>
      <c r="AE12" s="162">
        <v>-68.187166666666656</v>
      </c>
      <c r="AF12" s="162">
        <v>0</v>
      </c>
      <c r="AG12" s="162">
        <v>725.90679999999986</v>
      </c>
      <c r="AH12" s="162">
        <v>0</v>
      </c>
      <c r="AI12" s="162">
        <v>702.3263833333333</v>
      </c>
      <c r="AJ12" s="162">
        <v>85.569649999999996</v>
      </c>
      <c r="AK12" s="162">
        <v>155.87611666666669</v>
      </c>
      <c r="AL12" s="162">
        <v>729.04363333333322</v>
      </c>
      <c r="AM12" s="162">
        <v>764.1744166666665</v>
      </c>
      <c r="AN12" s="162">
        <v>-1.6386333333333332</v>
      </c>
      <c r="AO12" s="162">
        <v>720.34506666666664</v>
      </c>
      <c r="AP12" s="162">
        <v>710</v>
      </c>
      <c r="AQ12" s="162">
        <v>759.73231666666675</v>
      </c>
      <c r="AR12" s="162">
        <f t="shared" si="2"/>
        <v>31261.061499999996</v>
      </c>
    </row>
    <row r="13" spans="1:45">
      <c r="A13" s="160">
        <f t="shared" si="3"/>
        <v>45755</v>
      </c>
      <c r="B13" s="157">
        <f>YEAR(Table7[[#This Row],[Date]])+IF(MONTH(Table7[[#This Row],[Date]])&gt;=4,1,0)</f>
        <v>2026</v>
      </c>
      <c r="C13" s="157">
        <f>YEAR(Table7[[#This Row],[Date]])</f>
        <v>2025</v>
      </c>
      <c r="D13" s="159">
        <f t="shared" si="1"/>
        <v>45748</v>
      </c>
      <c r="E13" s="162">
        <v>1910.5436500000003</v>
      </c>
      <c r="F13" s="162">
        <v>389.27631666666656</v>
      </c>
      <c r="G13" s="162">
        <v>2048.9177666666674</v>
      </c>
      <c r="H13" s="162">
        <v>-47.814383333333339</v>
      </c>
      <c r="I13" s="162">
        <v>623.87949999999933</v>
      </c>
      <c r="J13" s="162">
        <v>358.62706666666674</v>
      </c>
      <c r="K13" s="162">
        <v>561.9942166666666</v>
      </c>
      <c r="L13" s="162">
        <v>296.78370000000001</v>
      </c>
      <c r="M13" s="162">
        <v>178.84873333333331</v>
      </c>
      <c r="N13" s="162">
        <v>1892.5289999999995</v>
      </c>
      <c r="O13" s="162">
        <v>266.95285000000001</v>
      </c>
      <c r="P13" s="162">
        <v>603.17849999999976</v>
      </c>
      <c r="Q13" s="162">
        <v>1810.7305000000001</v>
      </c>
      <c r="R13" s="162">
        <v>1934.8088333333342</v>
      </c>
      <c r="S13" s="162">
        <v>1567.0378666666672</v>
      </c>
      <c r="T13" s="162">
        <v>0</v>
      </c>
      <c r="U13" s="162">
        <v>2093.9499999999994</v>
      </c>
      <c r="V13" s="162">
        <v>2007.1696666666671</v>
      </c>
      <c r="W13" s="162">
        <v>428.65283333333338</v>
      </c>
      <c r="X13" s="162">
        <v>384.52568333333329</v>
      </c>
      <c r="Y13" s="162">
        <v>2064.9750000000004</v>
      </c>
      <c r="Z13" s="162">
        <v>1452.7388333333331</v>
      </c>
      <c r="AA13" s="162">
        <v>1940.4756666666676</v>
      </c>
      <c r="AB13" s="162">
        <v>51.51666666666668</v>
      </c>
      <c r="AC13" s="162">
        <v>1888.1640000000009</v>
      </c>
      <c r="AD13" s="162">
        <v>376.71999999999997</v>
      </c>
      <c r="AE13" s="162">
        <v>142.92876666666666</v>
      </c>
      <c r="AF13" s="162">
        <v>0</v>
      </c>
      <c r="AG13" s="162">
        <v>1956.1253333333327</v>
      </c>
      <c r="AH13" s="162">
        <v>0</v>
      </c>
      <c r="AI13" s="162">
        <v>1867.1369999999999</v>
      </c>
      <c r="AJ13" s="162">
        <v>107.25991666666668</v>
      </c>
      <c r="AK13" s="162">
        <v>385.3044999999999</v>
      </c>
      <c r="AL13" s="162">
        <v>1937.8511666666666</v>
      </c>
      <c r="AM13" s="162">
        <v>2011.009499999999</v>
      </c>
      <c r="AN13" s="162">
        <v>-9.7051666666666669</v>
      </c>
      <c r="AO13" s="162">
        <v>2026.7744833333338</v>
      </c>
      <c r="AP13" s="162">
        <v>15.593049999999998</v>
      </c>
      <c r="AQ13" s="162">
        <v>2099.0948333333322</v>
      </c>
      <c r="AR13" s="162">
        <f t="shared" si="2"/>
        <v>39624.555850000004</v>
      </c>
    </row>
    <row r="14" spans="1:45">
      <c r="A14" s="160">
        <f t="shared" si="3"/>
        <v>45756</v>
      </c>
      <c r="B14" s="157">
        <f>YEAR(Table7[[#This Row],[Date]])+IF(MONTH(Table7[[#This Row],[Date]])&gt;=4,1,0)</f>
        <v>2026</v>
      </c>
      <c r="C14" s="157">
        <f>YEAR(Table7[[#This Row],[Date]])</f>
        <v>2025</v>
      </c>
      <c r="D14" s="159">
        <f t="shared" si="1"/>
        <v>45748</v>
      </c>
      <c r="E14" s="162">
        <v>616.53243333333342</v>
      </c>
      <c r="F14" s="162">
        <v>137.04673333333326</v>
      </c>
      <c r="G14" s="162">
        <v>567.34203333333346</v>
      </c>
      <c r="H14" s="162">
        <v>36.052350000000004</v>
      </c>
      <c r="I14" s="162">
        <v>752.84203333333335</v>
      </c>
      <c r="J14" s="162">
        <v>203.43821666666665</v>
      </c>
      <c r="K14" s="162">
        <v>198.48964999999998</v>
      </c>
      <c r="L14" s="162">
        <v>242.91606666666664</v>
      </c>
      <c r="M14" s="162">
        <v>0</v>
      </c>
      <c r="N14" s="162">
        <v>437.33828333333327</v>
      </c>
      <c r="O14" s="162">
        <v>202.86698333333328</v>
      </c>
      <c r="P14" s="162">
        <v>495.00813333333343</v>
      </c>
      <c r="Q14" s="162">
        <v>941.90301666666676</v>
      </c>
      <c r="R14" s="162">
        <v>2566.5919333333322</v>
      </c>
      <c r="S14" s="162">
        <v>1891.3042333333342</v>
      </c>
      <c r="T14" s="162">
        <v>427.4052999999999</v>
      </c>
      <c r="U14" s="162">
        <v>2182.9024333333323</v>
      </c>
      <c r="V14" s="162">
        <v>2428.2553666666659</v>
      </c>
      <c r="W14" s="162">
        <v>393.69996666666663</v>
      </c>
      <c r="X14" s="162">
        <v>582.72155000000043</v>
      </c>
      <c r="Y14" s="162">
        <v>2179.2962666666649</v>
      </c>
      <c r="Z14" s="162">
        <v>1444.5756666666666</v>
      </c>
      <c r="AA14" s="162">
        <v>2370.104499999999</v>
      </c>
      <c r="AB14" s="162">
        <v>687.62523333333297</v>
      </c>
      <c r="AC14" s="162">
        <v>2398.0270166666651</v>
      </c>
      <c r="AD14" s="162">
        <v>874.11031666666656</v>
      </c>
      <c r="AE14" s="162">
        <v>818.99668333333375</v>
      </c>
      <c r="AF14" s="162">
        <v>0</v>
      </c>
      <c r="AG14" s="162">
        <v>2465.840666666666</v>
      </c>
      <c r="AH14" s="162">
        <v>0</v>
      </c>
      <c r="AI14" s="162">
        <v>2208.1021166666665</v>
      </c>
      <c r="AJ14" s="162">
        <v>636.86476666666681</v>
      </c>
      <c r="AK14" s="162">
        <v>906.72396666666634</v>
      </c>
      <c r="AL14" s="162">
        <v>2368.0592833333349</v>
      </c>
      <c r="AM14" s="162">
        <v>2513.1358833333325</v>
      </c>
      <c r="AN14" s="162">
        <v>-4.2375833333333333</v>
      </c>
      <c r="AO14" s="162">
        <v>2640.5092666666669</v>
      </c>
      <c r="AP14" s="162">
        <v>0</v>
      </c>
      <c r="AQ14" s="162">
        <v>2760.1330166666658</v>
      </c>
      <c r="AR14" s="162">
        <f t="shared" si="2"/>
        <v>42572.523783333323</v>
      </c>
    </row>
    <row r="15" spans="1:45">
      <c r="A15" s="160">
        <f t="shared" si="3"/>
        <v>45757</v>
      </c>
      <c r="B15" s="157">
        <f>YEAR(Table7[[#This Row],[Date]])+IF(MONTH(Table7[[#This Row],[Date]])&gt;=4,1,0)</f>
        <v>2026</v>
      </c>
      <c r="C15" s="157">
        <f>YEAR(Table7[[#This Row],[Date]])</f>
        <v>2025</v>
      </c>
      <c r="D15" s="159">
        <f t="shared" si="1"/>
        <v>45748</v>
      </c>
      <c r="E15" s="157">
        <v>129</v>
      </c>
      <c r="F15" s="157">
        <v>129</v>
      </c>
      <c r="G15" s="157">
        <v>129</v>
      </c>
      <c r="H15" s="157">
        <v>129</v>
      </c>
      <c r="I15" s="157">
        <v>129</v>
      </c>
      <c r="J15" s="157">
        <v>129</v>
      </c>
      <c r="K15" s="157">
        <v>129</v>
      </c>
      <c r="L15" s="157">
        <v>129</v>
      </c>
      <c r="M15" s="157">
        <v>129</v>
      </c>
      <c r="N15" s="157">
        <v>129</v>
      </c>
      <c r="O15" s="157">
        <v>129</v>
      </c>
      <c r="P15" s="157">
        <v>129</v>
      </c>
      <c r="Q15" s="157">
        <v>129</v>
      </c>
      <c r="R15" s="157">
        <v>129</v>
      </c>
      <c r="S15" s="157">
        <v>129</v>
      </c>
      <c r="T15" s="157">
        <v>129</v>
      </c>
      <c r="U15" s="157">
        <v>129</v>
      </c>
      <c r="V15" s="157">
        <v>129</v>
      </c>
      <c r="W15" s="157">
        <v>129</v>
      </c>
      <c r="X15" s="157">
        <v>129</v>
      </c>
      <c r="Y15" s="157">
        <v>129</v>
      </c>
      <c r="Z15" s="157">
        <v>129</v>
      </c>
      <c r="AA15" s="157">
        <v>129</v>
      </c>
      <c r="AB15" s="157">
        <v>129</v>
      </c>
      <c r="AC15" s="157">
        <v>129</v>
      </c>
      <c r="AD15" s="157">
        <v>129</v>
      </c>
      <c r="AE15" s="157">
        <v>129</v>
      </c>
      <c r="AF15" s="157">
        <v>0</v>
      </c>
      <c r="AG15" s="157">
        <v>129</v>
      </c>
      <c r="AH15" s="157">
        <v>0</v>
      </c>
      <c r="AI15" s="157">
        <v>129</v>
      </c>
      <c r="AJ15" s="157">
        <v>129</v>
      </c>
      <c r="AK15" s="157">
        <v>129</v>
      </c>
      <c r="AL15" s="157">
        <v>129</v>
      </c>
      <c r="AM15" s="157">
        <v>129</v>
      </c>
      <c r="AN15" s="157">
        <v>-5</v>
      </c>
      <c r="AO15" s="157">
        <v>129</v>
      </c>
      <c r="AP15" s="157">
        <v>129</v>
      </c>
      <c r="AQ15" s="157">
        <v>129</v>
      </c>
      <c r="AR15" s="157">
        <f t="shared" si="2"/>
        <v>4639</v>
      </c>
      <c r="AS15" s="174" t="s">
        <v>614</v>
      </c>
    </row>
    <row r="16" spans="1:45">
      <c r="A16" s="160">
        <f t="shared" si="3"/>
        <v>45758</v>
      </c>
      <c r="B16" s="157">
        <f>YEAR(Table7[[#This Row],[Date]])+IF(MONTH(Table7[[#This Row],[Date]])&gt;=4,1,0)</f>
        <v>2026</v>
      </c>
      <c r="C16" s="157">
        <f>YEAR(Table7[[#This Row],[Date]])</f>
        <v>2025</v>
      </c>
      <c r="D16" s="159">
        <f t="shared" si="1"/>
        <v>45748</v>
      </c>
      <c r="E16" s="157">
        <v>0</v>
      </c>
      <c r="F16" s="157">
        <v>0</v>
      </c>
      <c r="G16" s="157">
        <v>0</v>
      </c>
      <c r="H16" s="157">
        <v>0</v>
      </c>
      <c r="I16" s="157">
        <v>0</v>
      </c>
      <c r="J16" s="157">
        <v>0</v>
      </c>
      <c r="K16" s="157">
        <v>0</v>
      </c>
      <c r="L16" s="157">
        <v>0</v>
      </c>
      <c r="M16" s="157">
        <v>0</v>
      </c>
      <c r="N16" s="157">
        <v>0</v>
      </c>
      <c r="O16" s="157">
        <v>0</v>
      </c>
      <c r="P16" s="157">
        <v>0</v>
      </c>
      <c r="Q16" s="157">
        <v>0</v>
      </c>
      <c r="R16" s="157">
        <v>0</v>
      </c>
      <c r="S16" s="157">
        <v>0</v>
      </c>
      <c r="T16" s="157">
        <v>0</v>
      </c>
      <c r="U16" s="157">
        <v>0</v>
      </c>
      <c r="V16" s="157">
        <v>0</v>
      </c>
      <c r="W16" s="157">
        <v>0</v>
      </c>
      <c r="X16" s="157">
        <v>0</v>
      </c>
      <c r="Y16" s="157">
        <v>0</v>
      </c>
      <c r="Z16" s="157">
        <v>0</v>
      </c>
      <c r="AA16" s="157">
        <v>0</v>
      </c>
      <c r="AB16" s="157">
        <v>0</v>
      </c>
      <c r="AC16" s="157">
        <v>0</v>
      </c>
      <c r="AD16" s="157">
        <v>0</v>
      </c>
      <c r="AE16" s="157">
        <v>0</v>
      </c>
      <c r="AF16" s="157">
        <v>0</v>
      </c>
      <c r="AG16" s="157">
        <v>0</v>
      </c>
      <c r="AH16" s="157">
        <v>0</v>
      </c>
      <c r="AI16" s="157">
        <v>0</v>
      </c>
      <c r="AJ16" s="157">
        <v>0</v>
      </c>
      <c r="AK16" s="157">
        <v>0</v>
      </c>
      <c r="AL16" s="157">
        <v>0</v>
      </c>
      <c r="AM16" s="157">
        <v>0</v>
      </c>
      <c r="AN16" s="157">
        <v>0</v>
      </c>
      <c r="AO16" s="157">
        <v>0</v>
      </c>
      <c r="AP16" s="157">
        <v>0</v>
      </c>
      <c r="AQ16" s="157">
        <v>0</v>
      </c>
      <c r="AR16" s="157">
        <f t="shared" si="2"/>
        <v>0</v>
      </c>
      <c r="AS16" s="174" t="s">
        <v>614</v>
      </c>
    </row>
    <row r="17" spans="1:45">
      <c r="A17" s="160">
        <f t="shared" si="3"/>
        <v>45759</v>
      </c>
      <c r="B17" s="157">
        <f>YEAR(Table7[[#This Row],[Date]])+IF(MONTH(Table7[[#This Row],[Date]])&gt;=4,1,0)</f>
        <v>2026</v>
      </c>
      <c r="C17" s="157">
        <f>YEAR(Table7[[#This Row],[Date]])</f>
        <v>2025</v>
      </c>
      <c r="D17" s="159">
        <f t="shared" si="1"/>
        <v>45748</v>
      </c>
      <c r="E17" s="157">
        <v>99</v>
      </c>
      <c r="F17" s="157">
        <v>99</v>
      </c>
      <c r="G17" s="157">
        <v>99</v>
      </c>
      <c r="H17" s="157">
        <v>99</v>
      </c>
      <c r="I17" s="157">
        <v>99</v>
      </c>
      <c r="J17" s="157">
        <v>99</v>
      </c>
      <c r="K17" s="157">
        <v>99</v>
      </c>
      <c r="L17" s="157">
        <v>99</v>
      </c>
      <c r="M17" s="157">
        <v>99</v>
      </c>
      <c r="N17" s="157">
        <v>99</v>
      </c>
      <c r="O17" s="157">
        <v>99</v>
      </c>
      <c r="P17" s="157">
        <v>99</v>
      </c>
      <c r="Q17" s="157">
        <v>99</v>
      </c>
      <c r="R17" s="157">
        <v>99</v>
      </c>
      <c r="S17" s="157">
        <v>99</v>
      </c>
      <c r="T17" s="157">
        <v>99</v>
      </c>
      <c r="U17" s="157">
        <v>99</v>
      </c>
      <c r="V17" s="157">
        <v>99</v>
      </c>
      <c r="W17" s="157">
        <v>99</v>
      </c>
      <c r="X17" s="157">
        <v>99</v>
      </c>
      <c r="Y17" s="157">
        <v>99</v>
      </c>
      <c r="Z17" s="157">
        <v>99</v>
      </c>
      <c r="AA17" s="157">
        <v>99</v>
      </c>
      <c r="AB17" s="157">
        <v>99</v>
      </c>
      <c r="AC17" s="157">
        <v>99</v>
      </c>
      <c r="AD17" s="157">
        <v>99</v>
      </c>
      <c r="AE17" s="157">
        <v>99</v>
      </c>
      <c r="AF17" s="157">
        <v>0</v>
      </c>
      <c r="AG17" s="157">
        <v>99</v>
      </c>
      <c r="AH17" s="157">
        <v>0</v>
      </c>
      <c r="AI17" s="157">
        <v>99</v>
      </c>
      <c r="AJ17" s="157">
        <v>99</v>
      </c>
      <c r="AK17" s="157">
        <v>99</v>
      </c>
      <c r="AL17" s="157">
        <v>99</v>
      </c>
      <c r="AM17" s="157">
        <v>99</v>
      </c>
      <c r="AN17" s="157">
        <v>99</v>
      </c>
      <c r="AO17" s="157">
        <v>99</v>
      </c>
      <c r="AP17" s="157">
        <v>99</v>
      </c>
      <c r="AQ17" s="157">
        <v>99</v>
      </c>
      <c r="AR17" s="157">
        <f t="shared" si="2"/>
        <v>3663</v>
      </c>
      <c r="AS17" s="174" t="s">
        <v>614</v>
      </c>
    </row>
    <row r="18" spans="1:45">
      <c r="A18" s="160">
        <f t="shared" si="3"/>
        <v>45760</v>
      </c>
      <c r="B18" s="157">
        <f>YEAR(Table7[[#This Row],[Date]])+IF(MONTH(Table7[[#This Row],[Date]])&gt;=4,1,0)</f>
        <v>2026</v>
      </c>
      <c r="C18" s="157">
        <f>YEAR(Table7[[#This Row],[Date]])</f>
        <v>2025</v>
      </c>
      <c r="D18" s="159">
        <f t="shared" si="1"/>
        <v>45748</v>
      </c>
      <c r="E18" s="157">
        <v>129</v>
      </c>
      <c r="F18" s="157">
        <v>129</v>
      </c>
      <c r="G18" s="157">
        <v>129</v>
      </c>
      <c r="H18" s="157">
        <v>129</v>
      </c>
      <c r="I18" s="157">
        <v>129</v>
      </c>
      <c r="J18" s="157">
        <v>129</v>
      </c>
      <c r="K18" s="157">
        <v>129</v>
      </c>
      <c r="L18" s="157">
        <v>129</v>
      </c>
      <c r="M18" s="157">
        <v>129</v>
      </c>
      <c r="N18" s="157">
        <v>129</v>
      </c>
      <c r="O18" s="157">
        <v>129</v>
      </c>
      <c r="P18" s="157">
        <v>129</v>
      </c>
      <c r="Q18" s="157">
        <v>129</v>
      </c>
      <c r="R18" s="157">
        <v>129</v>
      </c>
      <c r="S18" s="157">
        <v>129</v>
      </c>
      <c r="T18" s="157">
        <v>129</v>
      </c>
      <c r="U18" s="157">
        <v>129</v>
      </c>
      <c r="V18" s="157">
        <v>129</v>
      </c>
      <c r="W18" s="157">
        <v>129</v>
      </c>
      <c r="X18" s="157">
        <v>129</v>
      </c>
      <c r="Y18" s="157">
        <v>129</v>
      </c>
      <c r="Z18" s="157">
        <v>129</v>
      </c>
      <c r="AA18" s="157">
        <v>129</v>
      </c>
      <c r="AB18" s="157">
        <v>129</v>
      </c>
      <c r="AC18" s="157">
        <v>129</v>
      </c>
      <c r="AD18" s="157">
        <v>129</v>
      </c>
      <c r="AE18" s="157">
        <v>129</v>
      </c>
      <c r="AF18" s="157">
        <v>0</v>
      </c>
      <c r="AG18" s="157">
        <v>129</v>
      </c>
      <c r="AH18" s="157">
        <v>0</v>
      </c>
      <c r="AI18" s="157">
        <v>129</v>
      </c>
      <c r="AJ18" s="157">
        <v>129</v>
      </c>
      <c r="AK18" s="157">
        <v>129</v>
      </c>
      <c r="AL18" s="157">
        <v>129</v>
      </c>
      <c r="AM18" s="157">
        <v>129</v>
      </c>
      <c r="AN18" s="157">
        <v>129</v>
      </c>
      <c r="AO18" s="157">
        <v>129</v>
      </c>
      <c r="AP18" s="157">
        <v>129</v>
      </c>
      <c r="AQ18" s="157">
        <v>129</v>
      </c>
      <c r="AR18" s="157">
        <f t="shared" si="2"/>
        <v>4773</v>
      </c>
      <c r="AS18" s="174" t="s">
        <v>614</v>
      </c>
    </row>
    <row r="19" spans="1:45">
      <c r="A19" s="160">
        <f t="shared" si="3"/>
        <v>45761</v>
      </c>
      <c r="B19" s="157">
        <f>YEAR(Table7[[#This Row],[Date]])+IF(MONTH(Table7[[#This Row],[Date]])&gt;=4,1,0)</f>
        <v>2026</v>
      </c>
      <c r="C19" s="157">
        <f>YEAR(Table7[[#This Row],[Date]])</f>
        <v>2025</v>
      </c>
      <c r="D19" s="159">
        <f t="shared" si="1"/>
        <v>45748</v>
      </c>
      <c r="E19" s="157">
        <v>129</v>
      </c>
      <c r="F19" s="157">
        <v>129</v>
      </c>
      <c r="G19" s="157">
        <v>129</v>
      </c>
      <c r="H19" s="157">
        <v>129</v>
      </c>
      <c r="I19" s="157">
        <v>129</v>
      </c>
      <c r="J19" s="157">
        <v>129</v>
      </c>
      <c r="K19" s="157">
        <v>129</v>
      </c>
      <c r="L19" s="157">
        <v>129</v>
      </c>
      <c r="M19" s="157">
        <v>129</v>
      </c>
      <c r="N19" s="157">
        <v>129</v>
      </c>
      <c r="O19" s="157">
        <v>129</v>
      </c>
      <c r="P19" s="157">
        <v>129</v>
      </c>
      <c r="Q19" s="157">
        <v>129</v>
      </c>
      <c r="R19" s="157">
        <v>129</v>
      </c>
      <c r="S19" s="157">
        <v>129</v>
      </c>
      <c r="T19" s="157">
        <v>129</v>
      </c>
      <c r="U19" s="157">
        <v>129</v>
      </c>
      <c r="V19" s="157">
        <v>129</v>
      </c>
      <c r="W19" s="157">
        <v>129</v>
      </c>
      <c r="X19" s="157">
        <v>129</v>
      </c>
      <c r="Y19" s="157">
        <v>129</v>
      </c>
      <c r="Z19" s="157">
        <v>129</v>
      </c>
      <c r="AA19" s="157">
        <v>129</v>
      </c>
      <c r="AB19" s="157">
        <v>129</v>
      </c>
      <c r="AC19" s="157">
        <v>129</v>
      </c>
      <c r="AD19" s="157">
        <v>129</v>
      </c>
      <c r="AE19" s="157">
        <v>129</v>
      </c>
      <c r="AF19" s="157">
        <v>0</v>
      </c>
      <c r="AG19" s="157">
        <v>129</v>
      </c>
      <c r="AH19" s="157">
        <v>0</v>
      </c>
      <c r="AI19" s="157">
        <v>129</v>
      </c>
      <c r="AJ19" s="157">
        <v>129</v>
      </c>
      <c r="AK19" s="157">
        <v>129</v>
      </c>
      <c r="AL19" s="157">
        <v>129</v>
      </c>
      <c r="AM19" s="157">
        <v>129</v>
      </c>
      <c r="AN19" s="157">
        <v>129</v>
      </c>
      <c r="AO19" s="157">
        <v>129</v>
      </c>
      <c r="AP19" s="157">
        <v>129</v>
      </c>
      <c r="AQ19" s="157">
        <v>129</v>
      </c>
      <c r="AR19" s="157">
        <f t="shared" si="2"/>
        <v>4773</v>
      </c>
      <c r="AS19" s="174" t="s">
        <v>614</v>
      </c>
    </row>
    <row r="20" spans="1:45">
      <c r="A20" s="160">
        <f t="shared" si="3"/>
        <v>45762</v>
      </c>
      <c r="B20" s="157">
        <f>YEAR(Table7[[#This Row],[Date]])+IF(MONTH(Table7[[#This Row],[Date]])&gt;=4,1,0)</f>
        <v>2026</v>
      </c>
      <c r="C20" s="157">
        <f>YEAR(Table7[[#This Row],[Date]])</f>
        <v>2025</v>
      </c>
      <c r="D20" s="159">
        <f t="shared" si="1"/>
        <v>45748</v>
      </c>
      <c r="E20" s="157">
        <v>129</v>
      </c>
      <c r="F20" s="157">
        <v>129</v>
      </c>
      <c r="G20" s="157">
        <v>129</v>
      </c>
      <c r="H20" s="157">
        <v>129</v>
      </c>
      <c r="I20" s="157">
        <v>129</v>
      </c>
      <c r="J20" s="157">
        <v>129</v>
      </c>
      <c r="K20" s="157">
        <v>129</v>
      </c>
      <c r="L20" s="157">
        <v>129</v>
      </c>
      <c r="M20" s="157">
        <v>129</v>
      </c>
      <c r="N20" s="157">
        <v>129</v>
      </c>
      <c r="O20" s="157">
        <v>129</v>
      </c>
      <c r="P20" s="157">
        <v>129</v>
      </c>
      <c r="Q20" s="157">
        <v>129</v>
      </c>
      <c r="R20" s="157">
        <v>129</v>
      </c>
      <c r="S20" s="157">
        <v>129</v>
      </c>
      <c r="T20" s="157">
        <v>129</v>
      </c>
      <c r="U20" s="157">
        <v>129</v>
      </c>
      <c r="V20" s="157">
        <v>129</v>
      </c>
      <c r="W20" s="157">
        <v>129</v>
      </c>
      <c r="X20" s="157">
        <v>129</v>
      </c>
      <c r="Y20" s="157">
        <v>129</v>
      </c>
      <c r="Z20" s="157">
        <v>129</v>
      </c>
      <c r="AA20" s="157">
        <v>129</v>
      </c>
      <c r="AB20" s="157">
        <v>129</v>
      </c>
      <c r="AC20" s="157">
        <v>129</v>
      </c>
      <c r="AD20" s="157">
        <v>129</v>
      </c>
      <c r="AE20" s="157">
        <v>129</v>
      </c>
      <c r="AF20" s="157">
        <v>0</v>
      </c>
      <c r="AG20" s="157">
        <v>129</v>
      </c>
      <c r="AH20" s="157">
        <v>0</v>
      </c>
      <c r="AI20" s="157">
        <v>129</v>
      </c>
      <c r="AJ20" s="157">
        <v>129</v>
      </c>
      <c r="AK20" s="157">
        <v>129</v>
      </c>
      <c r="AL20" s="157">
        <v>129</v>
      </c>
      <c r="AM20" s="157">
        <v>129</v>
      </c>
      <c r="AN20" s="157">
        <v>129</v>
      </c>
      <c r="AO20" s="157">
        <v>129</v>
      </c>
      <c r="AP20" s="157">
        <v>129</v>
      </c>
      <c r="AQ20" s="157">
        <v>129</v>
      </c>
      <c r="AR20" s="157">
        <f t="shared" si="2"/>
        <v>4773</v>
      </c>
      <c r="AS20" s="174" t="s">
        <v>614</v>
      </c>
    </row>
    <row r="21" spans="1:45">
      <c r="A21" s="160">
        <f t="shared" si="3"/>
        <v>45763</v>
      </c>
      <c r="B21" s="157">
        <f>YEAR(Table7[[#This Row],[Date]])+IF(MONTH(Table7[[#This Row],[Date]])&gt;=4,1,0)</f>
        <v>2026</v>
      </c>
      <c r="C21" s="157">
        <f>YEAR(Table7[[#This Row],[Date]])</f>
        <v>2025</v>
      </c>
      <c r="D21" s="159">
        <f t="shared" si="1"/>
        <v>45748</v>
      </c>
      <c r="E21" s="157">
        <v>97</v>
      </c>
      <c r="F21" s="157">
        <v>97</v>
      </c>
      <c r="G21" s="157">
        <v>97</v>
      </c>
      <c r="H21" s="157">
        <v>97</v>
      </c>
      <c r="I21" s="157">
        <v>97</v>
      </c>
      <c r="J21" s="157">
        <v>97</v>
      </c>
      <c r="K21" s="157">
        <v>97</v>
      </c>
      <c r="L21" s="157">
        <v>97</v>
      </c>
      <c r="M21" s="157">
        <v>97</v>
      </c>
      <c r="N21" s="157">
        <v>97</v>
      </c>
      <c r="O21" s="157">
        <v>97</v>
      </c>
      <c r="P21" s="157">
        <v>97</v>
      </c>
      <c r="Q21" s="157">
        <v>97</v>
      </c>
      <c r="R21" s="157">
        <v>97</v>
      </c>
      <c r="S21" s="157">
        <v>97</v>
      </c>
      <c r="T21" s="157">
        <v>97</v>
      </c>
      <c r="U21" s="157">
        <v>97</v>
      </c>
      <c r="V21" s="157">
        <v>97</v>
      </c>
      <c r="W21" s="157">
        <v>97</v>
      </c>
      <c r="X21" s="157">
        <v>97</v>
      </c>
      <c r="Y21" s="157">
        <v>97</v>
      </c>
      <c r="Z21" s="157">
        <v>97</v>
      </c>
      <c r="AA21" s="157">
        <v>97</v>
      </c>
      <c r="AB21" s="157">
        <v>97</v>
      </c>
      <c r="AC21" s="157">
        <v>97</v>
      </c>
      <c r="AD21" s="157">
        <v>97</v>
      </c>
      <c r="AE21" s="157">
        <v>97</v>
      </c>
      <c r="AF21" s="157">
        <v>0</v>
      </c>
      <c r="AG21" s="157">
        <v>97</v>
      </c>
      <c r="AH21" s="157">
        <v>0</v>
      </c>
      <c r="AI21" s="157">
        <v>97</v>
      </c>
      <c r="AJ21" s="157">
        <v>97</v>
      </c>
      <c r="AK21" s="157">
        <v>97</v>
      </c>
      <c r="AL21" s="157">
        <v>97</v>
      </c>
      <c r="AM21" s="157">
        <v>97</v>
      </c>
      <c r="AN21" s="157">
        <v>97</v>
      </c>
      <c r="AO21" s="157">
        <v>97</v>
      </c>
      <c r="AP21" s="157">
        <v>97</v>
      </c>
      <c r="AQ21" s="157">
        <v>97</v>
      </c>
      <c r="AR21" s="157">
        <f t="shared" si="2"/>
        <v>3589</v>
      </c>
      <c r="AS21" s="174" t="s">
        <v>614</v>
      </c>
    </row>
    <row r="22" spans="1:45">
      <c r="A22" s="160">
        <f t="shared" si="3"/>
        <v>45764</v>
      </c>
      <c r="B22" s="157">
        <f>YEAR(Table7[[#This Row],[Date]])+IF(MONTH(Table7[[#This Row],[Date]])&gt;=4,1,0)</f>
        <v>2026</v>
      </c>
      <c r="C22" s="157">
        <f>YEAR(Table7[[#This Row],[Date]])</f>
        <v>2025</v>
      </c>
      <c r="D22" s="159">
        <f t="shared" si="1"/>
        <v>45748</v>
      </c>
      <c r="E22" s="157">
        <v>97</v>
      </c>
      <c r="F22" s="157">
        <v>97</v>
      </c>
      <c r="G22" s="157">
        <v>97</v>
      </c>
      <c r="H22" s="157">
        <v>97</v>
      </c>
      <c r="I22" s="157">
        <v>97</v>
      </c>
      <c r="J22" s="157">
        <v>97</v>
      </c>
      <c r="K22" s="157">
        <v>97</v>
      </c>
      <c r="L22" s="157">
        <v>97</v>
      </c>
      <c r="M22" s="157">
        <v>97</v>
      </c>
      <c r="N22" s="157">
        <v>97</v>
      </c>
      <c r="O22" s="157">
        <v>97</v>
      </c>
      <c r="P22" s="157">
        <v>97</v>
      </c>
      <c r="Q22" s="157">
        <v>97</v>
      </c>
      <c r="R22" s="157">
        <v>97</v>
      </c>
      <c r="S22" s="157">
        <v>97</v>
      </c>
      <c r="T22" s="157">
        <v>97</v>
      </c>
      <c r="U22" s="157">
        <v>97</v>
      </c>
      <c r="V22" s="157">
        <v>97</v>
      </c>
      <c r="W22" s="157">
        <v>97</v>
      </c>
      <c r="X22" s="157">
        <v>97</v>
      </c>
      <c r="Y22" s="157">
        <v>97</v>
      </c>
      <c r="Z22" s="157">
        <v>97</v>
      </c>
      <c r="AA22" s="157">
        <v>97</v>
      </c>
      <c r="AB22" s="157">
        <v>97</v>
      </c>
      <c r="AC22" s="157">
        <v>97</v>
      </c>
      <c r="AD22" s="157">
        <v>97</v>
      </c>
      <c r="AE22" s="157">
        <v>97</v>
      </c>
      <c r="AF22" s="157">
        <v>0</v>
      </c>
      <c r="AG22" s="157">
        <v>97</v>
      </c>
      <c r="AH22" s="157">
        <v>0</v>
      </c>
      <c r="AI22" s="157">
        <v>97</v>
      </c>
      <c r="AJ22" s="157">
        <v>97</v>
      </c>
      <c r="AK22" s="157">
        <v>97</v>
      </c>
      <c r="AL22" s="157">
        <v>97</v>
      </c>
      <c r="AM22" s="157">
        <v>97</v>
      </c>
      <c r="AN22" s="157">
        <v>97</v>
      </c>
      <c r="AO22" s="157">
        <v>97</v>
      </c>
      <c r="AP22" s="157">
        <v>97</v>
      </c>
      <c r="AQ22" s="157">
        <v>97</v>
      </c>
      <c r="AR22" s="157">
        <f t="shared" si="2"/>
        <v>3589</v>
      </c>
      <c r="AS22" s="174" t="s">
        <v>614</v>
      </c>
    </row>
    <row r="23" spans="1:45">
      <c r="A23" s="160">
        <f t="shared" si="3"/>
        <v>45765</v>
      </c>
      <c r="B23" s="157">
        <f>YEAR(Table7[[#This Row],[Date]])+IF(MONTH(Table7[[#This Row],[Date]])&gt;=4,1,0)</f>
        <v>2026</v>
      </c>
      <c r="C23" s="157">
        <f>YEAR(Table7[[#This Row],[Date]])</f>
        <v>2025</v>
      </c>
      <c r="D23" s="159">
        <f t="shared" si="1"/>
        <v>45748</v>
      </c>
      <c r="E23" s="162">
        <v>194.59459459459458</v>
      </c>
      <c r="F23" s="162">
        <v>194.59459459459458</v>
      </c>
      <c r="G23" s="162">
        <v>194.59459459459458</v>
      </c>
      <c r="H23" s="162">
        <v>194.59459459459458</v>
      </c>
      <c r="I23" s="162">
        <v>194.59459459459458</v>
      </c>
      <c r="J23" s="162">
        <v>194.59459459459458</v>
      </c>
      <c r="K23" s="162">
        <v>194.59459459459458</v>
      </c>
      <c r="L23" s="162">
        <v>194.59459459459458</v>
      </c>
      <c r="M23" s="162">
        <v>194.59459459459458</v>
      </c>
      <c r="N23" s="162">
        <v>194.59459459459458</v>
      </c>
      <c r="O23" s="162">
        <v>194.59459459459458</v>
      </c>
      <c r="P23" s="162">
        <v>194.59459459459458</v>
      </c>
      <c r="Q23" s="162">
        <v>194.59459459459458</v>
      </c>
      <c r="R23" s="162">
        <v>194.59459459459458</v>
      </c>
      <c r="S23" s="162">
        <v>194.59459459459458</v>
      </c>
      <c r="T23" s="162">
        <v>194.59459459459458</v>
      </c>
      <c r="U23" s="162">
        <v>194.59459459459458</v>
      </c>
      <c r="V23" s="162">
        <v>194.59459459459458</v>
      </c>
      <c r="W23" s="162">
        <v>194.59459459459458</v>
      </c>
      <c r="X23" s="162">
        <v>194.59459459459458</v>
      </c>
      <c r="Y23" s="162">
        <v>194.59459459459458</v>
      </c>
      <c r="Z23" s="162">
        <v>194.59459459459458</v>
      </c>
      <c r="AA23" s="162">
        <v>194.59459459459458</v>
      </c>
      <c r="AB23" s="162">
        <v>194.59459459459458</v>
      </c>
      <c r="AC23" s="162">
        <v>194.59459459459458</v>
      </c>
      <c r="AD23" s="162">
        <v>194.59459459459458</v>
      </c>
      <c r="AE23" s="162">
        <v>194.59459459459458</v>
      </c>
      <c r="AF23" s="162">
        <v>0</v>
      </c>
      <c r="AG23" s="162">
        <v>194.59459459459458</v>
      </c>
      <c r="AH23" s="162">
        <v>0</v>
      </c>
      <c r="AI23" s="162">
        <v>194.59459459459458</v>
      </c>
      <c r="AJ23" s="162">
        <v>194.59459459459458</v>
      </c>
      <c r="AK23" s="162">
        <v>194.59459459459458</v>
      </c>
      <c r="AL23" s="162">
        <v>194.59459459459458</v>
      </c>
      <c r="AM23" s="162">
        <v>194.59459459459458</v>
      </c>
      <c r="AN23" s="162">
        <v>194.59459459459458</v>
      </c>
      <c r="AO23" s="162">
        <v>194.59459459459458</v>
      </c>
      <c r="AP23" s="162">
        <v>194.59459459459458</v>
      </c>
      <c r="AQ23" s="162">
        <v>194.59459459459458</v>
      </c>
      <c r="AR23" s="162">
        <f t="shared" si="2"/>
        <v>7200.0000000000055</v>
      </c>
      <c r="AS23" s="174" t="s">
        <v>614</v>
      </c>
    </row>
    <row r="24" spans="1:45">
      <c r="A24" s="160">
        <f t="shared" si="3"/>
        <v>45766</v>
      </c>
      <c r="B24" s="157">
        <f>YEAR(Table7[[#This Row],[Date]])+IF(MONTH(Table7[[#This Row],[Date]])&gt;=4,1,0)</f>
        <v>2026</v>
      </c>
      <c r="C24" s="157">
        <f>YEAR(Table7[[#This Row],[Date]])</f>
        <v>2025</v>
      </c>
      <c r="D24" s="159">
        <f t="shared" si="1"/>
        <v>45748</v>
      </c>
      <c r="E24" s="157">
        <v>0</v>
      </c>
      <c r="F24" s="157">
        <v>0</v>
      </c>
      <c r="G24" s="157">
        <v>0</v>
      </c>
      <c r="H24" s="157">
        <v>0</v>
      </c>
      <c r="I24" s="157">
        <v>0</v>
      </c>
      <c r="J24" s="157">
        <v>0</v>
      </c>
      <c r="K24" s="157">
        <v>0</v>
      </c>
      <c r="L24" s="157">
        <v>0</v>
      </c>
      <c r="M24" s="157">
        <v>0</v>
      </c>
      <c r="N24" s="157">
        <v>0</v>
      </c>
      <c r="O24" s="157">
        <v>0</v>
      </c>
      <c r="P24" s="157">
        <v>0</v>
      </c>
      <c r="Q24" s="157">
        <v>0</v>
      </c>
      <c r="R24" s="157">
        <v>0</v>
      </c>
      <c r="S24" s="157">
        <v>0</v>
      </c>
      <c r="T24" s="157">
        <v>0</v>
      </c>
      <c r="U24" s="157">
        <v>0</v>
      </c>
      <c r="V24" s="157">
        <v>0</v>
      </c>
      <c r="W24" s="157">
        <v>0</v>
      </c>
      <c r="X24" s="157">
        <v>0</v>
      </c>
      <c r="Y24" s="157">
        <v>0</v>
      </c>
      <c r="Z24" s="157">
        <v>0</v>
      </c>
      <c r="AA24" s="157">
        <v>0</v>
      </c>
      <c r="AB24" s="157">
        <v>0</v>
      </c>
      <c r="AC24" s="157">
        <v>0</v>
      </c>
      <c r="AD24" s="157">
        <v>0</v>
      </c>
      <c r="AE24" s="157">
        <v>0</v>
      </c>
      <c r="AF24" s="157">
        <v>0</v>
      </c>
      <c r="AG24" s="157">
        <v>0</v>
      </c>
      <c r="AH24" s="157">
        <v>0</v>
      </c>
      <c r="AI24" s="157">
        <v>0</v>
      </c>
      <c r="AJ24" s="157">
        <v>0</v>
      </c>
      <c r="AK24" s="157">
        <v>0</v>
      </c>
      <c r="AL24" s="157">
        <v>0</v>
      </c>
      <c r="AM24" s="157">
        <v>0</v>
      </c>
      <c r="AN24" s="157">
        <v>0</v>
      </c>
      <c r="AO24" s="157">
        <v>0</v>
      </c>
      <c r="AP24" s="157">
        <v>0</v>
      </c>
      <c r="AQ24" s="157">
        <v>0</v>
      </c>
      <c r="AR24" s="157">
        <f t="shared" si="2"/>
        <v>0</v>
      </c>
      <c r="AS24" s="174" t="s">
        <v>614</v>
      </c>
    </row>
    <row r="25" spans="1:45">
      <c r="A25" s="160">
        <f t="shared" si="3"/>
        <v>45767</v>
      </c>
      <c r="B25" s="157">
        <f>YEAR(Table7[[#This Row],[Date]])+IF(MONTH(Table7[[#This Row],[Date]])&gt;=4,1,0)</f>
        <v>2026</v>
      </c>
      <c r="C25" s="157">
        <f>YEAR(Table7[[#This Row],[Date]])</f>
        <v>2025</v>
      </c>
      <c r="D25" s="159">
        <f t="shared" si="1"/>
        <v>45748</v>
      </c>
      <c r="E25" s="157">
        <v>0</v>
      </c>
      <c r="F25" s="157">
        <v>0</v>
      </c>
      <c r="G25" s="157">
        <v>0</v>
      </c>
      <c r="H25" s="157">
        <v>0</v>
      </c>
      <c r="I25" s="157">
        <v>0</v>
      </c>
      <c r="J25" s="157">
        <v>0</v>
      </c>
      <c r="K25" s="157">
        <v>0</v>
      </c>
      <c r="L25" s="157">
        <v>0</v>
      </c>
      <c r="M25" s="157">
        <v>0</v>
      </c>
      <c r="N25" s="157">
        <v>0</v>
      </c>
      <c r="O25" s="157">
        <v>0</v>
      </c>
      <c r="P25" s="157">
        <v>0</v>
      </c>
      <c r="Q25" s="157">
        <v>0</v>
      </c>
      <c r="R25" s="157">
        <v>0</v>
      </c>
      <c r="S25" s="157">
        <v>0</v>
      </c>
      <c r="T25" s="157">
        <v>0</v>
      </c>
      <c r="U25" s="157">
        <v>0</v>
      </c>
      <c r="V25" s="157">
        <v>0</v>
      </c>
      <c r="W25" s="157">
        <v>0</v>
      </c>
      <c r="X25" s="157">
        <v>0</v>
      </c>
      <c r="Y25" s="157">
        <v>0</v>
      </c>
      <c r="Z25" s="157">
        <v>0</v>
      </c>
      <c r="AA25" s="157">
        <v>0</v>
      </c>
      <c r="AB25" s="157">
        <v>0</v>
      </c>
      <c r="AC25" s="157">
        <v>0</v>
      </c>
      <c r="AD25" s="157">
        <v>0</v>
      </c>
      <c r="AE25" s="157">
        <v>0</v>
      </c>
      <c r="AF25" s="157">
        <v>0</v>
      </c>
      <c r="AG25" s="157">
        <v>0</v>
      </c>
      <c r="AH25" s="157">
        <v>0</v>
      </c>
      <c r="AI25" s="157">
        <v>0</v>
      </c>
      <c r="AJ25" s="157">
        <v>0</v>
      </c>
      <c r="AK25" s="157">
        <v>0</v>
      </c>
      <c r="AL25" s="157">
        <v>0</v>
      </c>
      <c r="AM25" s="157">
        <v>0</v>
      </c>
      <c r="AN25" s="157">
        <v>0</v>
      </c>
      <c r="AO25" s="157">
        <v>0</v>
      </c>
      <c r="AP25" s="157">
        <v>0</v>
      </c>
      <c r="AQ25" s="157">
        <v>0</v>
      </c>
      <c r="AR25" s="157">
        <f t="shared" si="2"/>
        <v>0</v>
      </c>
      <c r="AS25" s="174" t="s">
        <v>614</v>
      </c>
    </row>
    <row r="26" spans="1:45">
      <c r="A26" s="160">
        <f t="shared" si="3"/>
        <v>45768</v>
      </c>
      <c r="B26" s="157">
        <f>YEAR(Table7[[#This Row],[Date]])+IF(MONTH(Table7[[#This Row],[Date]])&gt;=4,1,0)</f>
        <v>2026</v>
      </c>
      <c r="C26" s="157">
        <f>YEAR(Table7[[#This Row],[Date]])</f>
        <v>2025</v>
      </c>
      <c r="D26" s="159">
        <f t="shared" si="1"/>
        <v>45748</v>
      </c>
      <c r="E26" s="157">
        <v>227</v>
      </c>
      <c r="F26" s="157">
        <v>227</v>
      </c>
      <c r="G26" s="157">
        <v>227</v>
      </c>
      <c r="H26" s="157">
        <v>227</v>
      </c>
      <c r="I26" s="157">
        <v>227</v>
      </c>
      <c r="J26" s="157">
        <v>227</v>
      </c>
      <c r="K26" s="157">
        <v>227</v>
      </c>
      <c r="L26" s="157">
        <v>227</v>
      </c>
      <c r="M26" s="157">
        <v>227</v>
      </c>
      <c r="N26" s="157">
        <v>227</v>
      </c>
      <c r="O26" s="157">
        <v>227</v>
      </c>
      <c r="P26" s="157">
        <v>227</v>
      </c>
      <c r="Q26" s="157">
        <v>227</v>
      </c>
      <c r="R26" s="157">
        <v>227</v>
      </c>
      <c r="S26" s="157">
        <v>227</v>
      </c>
      <c r="T26" s="157">
        <v>227</v>
      </c>
      <c r="U26" s="157">
        <v>227</v>
      </c>
      <c r="V26" s="157">
        <v>227</v>
      </c>
      <c r="W26" s="157">
        <v>227</v>
      </c>
      <c r="X26" s="157">
        <v>227</v>
      </c>
      <c r="Y26" s="157">
        <v>227</v>
      </c>
      <c r="Z26" s="157">
        <v>227</v>
      </c>
      <c r="AA26" s="157">
        <v>227</v>
      </c>
      <c r="AB26" s="157">
        <v>227</v>
      </c>
      <c r="AC26" s="157">
        <v>227</v>
      </c>
      <c r="AD26" s="157">
        <v>227</v>
      </c>
      <c r="AE26" s="157">
        <v>227</v>
      </c>
      <c r="AF26" s="157">
        <v>0</v>
      </c>
      <c r="AG26" s="157">
        <v>227</v>
      </c>
      <c r="AH26" s="157">
        <v>0</v>
      </c>
      <c r="AI26" s="157">
        <v>227</v>
      </c>
      <c r="AJ26" s="157">
        <v>227</v>
      </c>
      <c r="AK26" s="157">
        <v>227</v>
      </c>
      <c r="AL26" s="157">
        <v>227</v>
      </c>
      <c r="AM26" s="157">
        <v>227</v>
      </c>
      <c r="AN26" s="157">
        <v>227</v>
      </c>
      <c r="AO26" s="157">
        <v>227</v>
      </c>
      <c r="AP26" s="157">
        <v>227</v>
      </c>
      <c r="AQ26" s="157">
        <v>227</v>
      </c>
      <c r="AR26" s="157">
        <f t="shared" si="2"/>
        <v>8399</v>
      </c>
      <c r="AS26" s="174" t="s">
        <v>614</v>
      </c>
    </row>
    <row r="27" spans="1:45">
      <c r="A27" s="160">
        <f t="shared" si="3"/>
        <v>45769</v>
      </c>
      <c r="B27" s="157">
        <f>YEAR(Table7[[#This Row],[Date]])+IF(MONTH(Table7[[#This Row],[Date]])&gt;=4,1,0)</f>
        <v>2026</v>
      </c>
      <c r="C27" s="157">
        <f>YEAR(Table7[[#This Row],[Date]])</f>
        <v>2025</v>
      </c>
      <c r="D27" s="159">
        <f t="shared" si="1"/>
        <v>45748</v>
      </c>
      <c r="E27" s="157">
        <v>227</v>
      </c>
      <c r="F27" s="157">
        <v>227</v>
      </c>
      <c r="G27" s="157">
        <v>227</v>
      </c>
      <c r="H27" s="157">
        <v>227</v>
      </c>
      <c r="I27" s="157">
        <v>227</v>
      </c>
      <c r="J27" s="157">
        <v>227</v>
      </c>
      <c r="K27" s="157">
        <v>227</v>
      </c>
      <c r="L27" s="157">
        <v>227</v>
      </c>
      <c r="M27" s="157">
        <v>227</v>
      </c>
      <c r="N27" s="157">
        <v>227</v>
      </c>
      <c r="O27" s="157">
        <v>227</v>
      </c>
      <c r="P27" s="157">
        <v>227</v>
      </c>
      <c r="Q27" s="157">
        <v>227</v>
      </c>
      <c r="R27" s="157">
        <v>227</v>
      </c>
      <c r="S27" s="157">
        <v>227</v>
      </c>
      <c r="T27" s="157">
        <v>227</v>
      </c>
      <c r="U27" s="157">
        <v>227</v>
      </c>
      <c r="V27" s="157">
        <v>227</v>
      </c>
      <c r="W27" s="157">
        <v>227</v>
      </c>
      <c r="X27" s="157">
        <v>227</v>
      </c>
      <c r="Y27" s="157">
        <v>227</v>
      </c>
      <c r="Z27" s="157">
        <v>227</v>
      </c>
      <c r="AA27" s="157">
        <v>227</v>
      </c>
      <c r="AB27" s="157">
        <v>227</v>
      </c>
      <c r="AC27" s="157">
        <v>227</v>
      </c>
      <c r="AD27" s="157">
        <v>227</v>
      </c>
      <c r="AE27" s="157">
        <v>227</v>
      </c>
      <c r="AF27" s="157">
        <v>0</v>
      </c>
      <c r="AG27" s="157">
        <v>227</v>
      </c>
      <c r="AH27" s="157">
        <v>0</v>
      </c>
      <c r="AI27" s="157">
        <v>227</v>
      </c>
      <c r="AJ27" s="157">
        <v>227</v>
      </c>
      <c r="AK27" s="157">
        <v>227</v>
      </c>
      <c r="AL27" s="157">
        <v>227</v>
      </c>
      <c r="AM27" s="157">
        <v>227</v>
      </c>
      <c r="AN27" s="157">
        <v>227</v>
      </c>
      <c r="AO27" s="157">
        <v>227</v>
      </c>
      <c r="AP27" s="157">
        <v>227</v>
      </c>
      <c r="AQ27" s="157">
        <v>227</v>
      </c>
      <c r="AR27" s="157">
        <f t="shared" si="2"/>
        <v>8399</v>
      </c>
      <c r="AS27" s="174" t="s">
        <v>614</v>
      </c>
    </row>
    <row r="28" spans="1:45">
      <c r="A28" s="160">
        <f t="shared" si="3"/>
        <v>45770</v>
      </c>
      <c r="B28" s="157">
        <f>YEAR(Table7[[#This Row],[Date]])+IF(MONTH(Table7[[#This Row],[Date]])&gt;=4,1,0)</f>
        <v>2026</v>
      </c>
      <c r="C28" s="157">
        <f>YEAR(Table7[[#This Row],[Date]])</f>
        <v>2025</v>
      </c>
      <c r="D28" s="159">
        <f t="shared" si="1"/>
        <v>45748</v>
      </c>
      <c r="E28" s="157">
        <v>195</v>
      </c>
      <c r="F28" s="157">
        <v>195</v>
      </c>
      <c r="G28" s="157">
        <v>195</v>
      </c>
      <c r="H28" s="157">
        <v>195</v>
      </c>
      <c r="I28" s="157">
        <v>195</v>
      </c>
      <c r="J28" s="157">
        <v>195</v>
      </c>
      <c r="K28" s="157">
        <v>195</v>
      </c>
      <c r="L28" s="157">
        <v>195</v>
      </c>
      <c r="M28" s="157">
        <v>195</v>
      </c>
      <c r="N28" s="157">
        <v>195</v>
      </c>
      <c r="O28" s="157">
        <v>195</v>
      </c>
      <c r="P28" s="157">
        <v>195</v>
      </c>
      <c r="Q28" s="157">
        <v>195</v>
      </c>
      <c r="R28" s="157">
        <v>195</v>
      </c>
      <c r="S28" s="157">
        <v>195</v>
      </c>
      <c r="T28" s="157">
        <v>195</v>
      </c>
      <c r="U28" s="157">
        <v>195</v>
      </c>
      <c r="V28" s="157">
        <v>195</v>
      </c>
      <c r="W28" s="157">
        <v>194</v>
      </c>
      <c r="X28" s="157">
        <v>195</v>
      </c>
      <c r="Y28" s="157">
        <v>195</v>
      </c>
      <c r="Z28" s="157">
        <v>193</v>
      </c>
      <c r="AA28" s="157">
        <v>195</v>
      </c>
      <c r="AB28" s="157">
        <v>185</v>
      </c>
      <c r="AC28" s="157">
        <v>195</v>
      </c>
      <c r="AD28" s="157">
        <v>195</v>
      </c>
      <c r="AE28" s="157">
        <v>195</v>
      </c>
      <c r="AF28" s="157">
        <v>0</v>
      </c>
      <c r="AG28" s="157">
        <v>195</v>
      </c>
      <c r="AH28" s="157">
        <v>0</v>
      </c>
      <c r="AI28" s="157">
        <v>193</v>
      </c>
      <c r="AJ28" s="157">
        <v>195</v>
      </c>
      <c r="AK28" s="157">
        <v>195</v>
      </c>
      <c r="AL28" s="157">
        <v>195</v>
      </c>
      <c r="AM28" s="157">
        <v>195</v>
      </c>
      <c r="AN28" s="157">
        <v>195</v>
      </c>
      <c r="AO28" s="157">
        <v>195</v>
      </c>
      <c r="AP28" s="157">
        <v>195</v>
      </c>
      <c r="AQ28" s="157">
        <v>195</v>
      </c>
      <c r="AR28" s="157">
        <f t="shared" si="2"/>
        <v>7200</v>
      </c>
      <c r="AS28" s="174" t="s">
        <v>614</v>
      </c>
    </row>
    <row r="29" spans="1:45">
      <c r="A29" s="160">
        <f t="shared" si="3"/>
        <v>45771</v>
      </c>
      <c r="B29" s="157">
        <f>YEAR(Table7[[#This Row],[Date]])+IF(MONTH(Table7[[#This Row],[Date]])&gt;=4,1,0)</f>
        <v>2026</v>
      </c>
      <c r="C29" s="157">
        <f>YEAR(Table7[[#This Row],[Date]])</f>
        <v>2025</v>
      </c>
      <c r="D29" s="159">
        <f t="shared" si="1"/>
        <v>45748</v>
      </c>
      <c r="E29" s="157">
        <v>259</v>
      </c>
      <c r="F29" s="157">
        <v>259</v>
      </c>
      <c r="G29" s="157">
        <v>259</v>
      </c>
      <c r="H29" s="157">
        <v>259</v>
      </c>
      <c r="I29" s="157">
        <v>259</v>
      </c>
      <c r="J29" s="157">
        <v>259</v>
      </c>
      <c r="K29" s="157">
        <v>259</v>
      </c>
      <c r="L29" s="157">
        <v>259</v>
      </c>
      <c r="M29" s="157">
        <v>259</v>
      </c>
      <c r="N29" s="157">
        <v>259</v>
      </c>
      <c r="O29" s="157">
        <v>259</v>
      </c>
      <c r="P29" s="157">
        <v>259</v>
      </c>
      <c r="Q29" s="157">
        <v>259</v>
      </c>
      <c r="R29" s="157">
        <v>259</v>
      </c>
      <c r="S29" s="157">
        <v>259</v>
      </c>
      <c r="T29" s="157">
        <v>259</v>
      </c>
      <c r="U29" s="157">
        <v>259</v>
      </c>
      <c r="V29" s="157">
        <v>259</v>
      </c>
      <c r="W29" s="157">
        <v>259</v>
      </c>
      <c r="X29" s="157">
        <v>259</v>
      </c>
      <c r="Y29" s="157">
        <v>259</v>
      </c>
      <c r="Z29" s="157">
        <v>259</v>
      </c>
      <c r="AA29" s="157">
        <v>259</v>
      </c>
      <c r="AB29" s="157">
        <v>259</v>
      </c>
      <c r="AC29" s="157">
        <v>259</v>
      </c>
      <c r="AD29" s="157">
        <v>259</v>
      </c>
      <c r="AE29" s="157">
        <v>259</v>
      </c>
      <c r="AF29" s="157">
        <v>0</v>
      </c>
      <c r="AG29" s="157">
        <v>259</v>
      </c>
      <c r="AH29" s="157">
        <v>0</v>
      </c>
      <c r="AI29" s="157">
        <v>259</v>
      </c>
      <c r="AJ29" s="157">
        <v>259</v>
      </c>
      <c r="AK29" s="157">
        <v>259</v>
      </c>
      <c r="AL29" s="157">
        <v>259</v>
      </c>
      <c r="AM29" s="157">
        <v>259</v>
      </c>
      <c r="AN29" s="157">
        <v>259</v>
      </c>
      <c r="AO29" s="157">
        <v>259</v>
      </c>
      <c r="AP29" s="157">
        <v>259</v>
      </c>
      <c r="AQ29" s="157">
        <v>259</v>
      </c>
      <c r="AR29" s="157">
        <f t="shared" si="2"/>
        <v>9583</v>
      </c>
      <c r="AS29" s="174" t="s">
        <v>614</v>
      </c>
    </row>
    <row r="30" spans="1:45">
      <c r="A30" s="160">
        <f t="shared" si="3"/>
        <v>45772</v>
      </c>
      <c r="B30" s="157">
        <f>YEAR(Table7[[#This Row],[Date]])+IF(MONTH(Table7[[#This Row],[Date]])&gt;=4,1,0)</f>
        <v>2026</v>
      </c>
      <c r="C30" s="157">
        <f>YEAR(Table7[[#This Row],[Date]])</f>
        <v>2025</v>
      </c>
      <c r="D30" s="159">
        <f t="shared" si="1"/>
        <v>45748</v>
      </c>
      <c r="E30" s="157">
        <v>65</v>
      </c>
      <c r="F30" s="157">
        <v>65</v>
      </c>
      <c r="G30" s="157">
        <v>65</v>
      </c>
      <c r="H30" s="157">
        <v>65</v>
      </c>
      <c r="I30" s="157">
        <v>65</v>
      </c>
      <c r="J30" s="157">
        <v>65</v>
      </c>
      <c r="K30" s="157">
        <v>65</v>
      </c>
      <c r="L30" s="157">
        <v>65</v>
      </c>
      <c r="M30" s="157">
        <v>65</v>
      </c>
      <c r="N30" s="157">
        <v>65</v>
      </c>
      <c r="O30" s="157">
        <v>65</v>
      </c>
      <c r="P30" s="157">
        <v>65</v>
      </c>
      <c r="Q30" s="157">
        <v>65</v>
      </c>
      <c r="R30" s="157">
        <v>65</v>
      </c>
      <c r="S30" s="157">
        <v>65</v>
      </c>
      <c r="T30" s="157">
        <v>65</v>
      </c>
      <c r="U30" s="157">
        <v>65</v>
      </c>
      <c r="V30" s="157">
        <v>65</v>
      </c>
      <c r="W30" s="157">
        <v>65</v>
      </c>
      <c r="X30" s="157">
        <v>65</v>
      </c>
      <c r="Y30" s="157">
        <v>65</v>
      </c>
      <c r="Z30" s="157">
        <v>65</v>
      </c>
      <c r="AA30" s="157">
        <v>65</v>
      </c>
      <c r="AB30" s="157">
        <v>65</v>
      </c>
      <c r="AC30" s="157">
        <v>65</v>
      </c>
      <c r="AD30" s="157">
        <v>65</v>
      </c>
      <c r="AE30" s="157">
        <v>65</v>
      </c>
      <c r="AF30" s="157">
        <v>0</v>
      </c>
      <c r="AG30" s="157">
        <v>65</v>
      </c>
      <c r="AH30" s="157">
        <v>0</v>
      </c>
      <c r="AI30" s="157">
        <v>65</v>
      </c>
      <c r="AJ30" s="157">
        <v>65</v>
      </c>
      <c r="AK30" s="157">
        <v>65</v>
      </c>
      <c r="AL30" s="157">
        <v>65</v>
      </c>
      <c r="AM30" s="157">
        <v>65</v>
      </c>
      <c r="AN30" s="157">
        <v>65</v>
      </c>
      <c r="AO30" s="157">
        <v>65</v>
      </c>
      <c r="AP30" s="157">
        <v>65</v>
      </c>
      <c r="AQ30" s="157">
        <v>65</v>
      </c>
      <c r="AR30" s="157">
        <f t="shared" si="2"/>
        <v>2405</v>
      </c>
      <c r="AS30" s="174" t="s">
        <v>614</v>
      </c>
    </row>
    <row r="31" spans="1:45">
      <c r="A31" s="160">
        <f t="shared" si="3"/>
        <v>45773</v>
      </c>
      <c r="B31" s="157">
        <f>YEAR(Table7[[#This Row],[Date]])+IF(MONTH(Table7[[#This Row],[Date]])&gt;=4,1,0)</f>
        <v>2026</v>
      </c>
      <c r="C31" s="157">
        <f>YEAR(Table7[[#This Row],[Date]])</f>
        <v>2025</v>
      </c>
      <c r="D31" s="159">
        <f t="shared" si="1"/>
        <v>45748</v>
      </c>
      <c r="E31" s="157">
        <v>65</v>
      </c>
      <c r="F31" s="157">
        <v>65</v>
      </c>
      <c r="G31" s="157">
        <v>65</v>
      </c>
      <c r="H31" s="157">
        <v>65</v>
      </c>
      <c r="I31" s="157">
        <v>65</v>
      </c>
      <c r="J31" s="157">
        <v>65</v>
      </c>
      <c r="K31" s="157">
        <v>65</v>
      </c>
      <c r="L31" s="157">
        <v>65</v>
      </c>
      <c r="M31" s="157">
        <v>65</v>
      </c>
      <c r="N31" s="157">
        <v>65</v>
      </c>
      <c r="O31" s="157">
        <v>65</v>
      </c>
      <c r="P31" s="157">
        <v>65</v>
      </c>
      <c r="Q31" s="157">
        <v>65</v>
      </c>
      <c r="R31" s="157">
        <v>65</v>
      </c>
      <c r="S31" s="157">
        <v>65</v>
      </c>
      <c r="T31" s="157">
        <v>65</v>
      </c>
      <c r="U31" s="157">
        <v>65</v>
      </c>
      <c r="V31" s="157">
        <v>65</v>
      </c>
      <c r="W31" s="157">
        <v>65</v>
      </c>
      <c r="X31" s="157">
        <v>65</v>
      </c>
      <c r="Y31" s="157">
        <v>65</v>
      </c>
      <c r="Z31" s="157">
        <v>65</v>
      </c>
      <c r="AA31" s="157">
        <v>65</v>
      </c>
      <c r="AB31" s="157">
        <v>65</v>
      </c>
      <c r="AC31" s="157">
        <v>65</v>
      </c>
      <c r="AD31" s="157">
        <v>65</v>
      </c>
      <c r="AE31" s="157">
        <v>65</v>
      </c>
      <c r="AF31" s="157">
        <v>0</v>
      </c>
      <c r="AG31" s="157">
        <v>65</v>
      </c>
      <c r="AH31" s="157">
        <v>0</v>
      </c>
      <c r="AI31" s="157">
        <v>65</v>
      </c>
      <c r="AJ31" s="157">
        <v>65</v>
      </c>
      <c r="AK31" s="157">
        <v>65</v>
      </c>
      <c r="AL31" s="157">
        <v>65</v>
      </c>
      <c r="AM31" s="157">
        <v>65</v>
      </c>
      <c r="AN31" s="157">
        <v>65</v>
      </c>
      <c r="AO31" s="157">
        <v>65</v>
      </c>
      <c r="AP31" s="157">
        <v>65</v>
      </c>
      <c r="AQ31" s="157">
        <v>65</v>
      </c>
      <c r="AR31" s="157">
        <f t="shared" si="2"/>
        <v>2405</v>
      </c>
      <c r="AS31" s="174" t="s">
        <v>614</v>
      </c>
    </row>
    <row r="32" spans="1:45">
      <c r="A32" s="160">
        <f t="shared" si="3"/>
        <v>45774</v>
      </c>
      <c r="B32" s="157">
        <f>YEAR(Table7[[#This Row],[Date]])+IF(MONTH(Table7[[#This Row],[Date]])&gt;=4,1,0)</f>
        <v>2026</v>
      </c>
      <c r="C32" s="157">
        <f>YEAR(Table7[[#This Row],[Date]])</f>
        <v>2025</v>
      </c>
      <c r="D32" s="159">
        <f t="shared" si="1"/>
        <v>45748</v>
      </c>
      <c r="E32" s="157">
        <v>227</v>
      </c>
      <c r="F32" s="157">
        <v>227</v>
      </c>
      <c r="G32" s="157">
        <v>227</v>
      </c>
      <c r="H32" s="157">
        <v>227</v>
      </c>
      <c r="I32" s="157">
        <v>227</v>
      </c>
      <c r="J32" s="157">
        <v>227</v>
      </c>
      <c r="K32" s="157">
        <v>227</v>
      </c>
      <c r="L32" s="157">
        <v>227</v>
      </c>
      <c r="M32" s="157">
        <v>227</v>
      </c>
      <c r="N32" s="157">
        <v>227</v>
      </c>
      <c r="O32" s="157">
        <v>227</v>
      </c>
      <c r="P32" s="157">
        <v>227</v>
      </c>
      <c r="Q32" s="157">
        <v>227</v>
      </c>
      <c r="R32" s="157">
        <v>227</v>
      </c>
      <c r="S32" s="157">
        <v>227</v>
      </c>
      <c r="T32" s="157">
        <v>227</v>
      </c>
      <c r="U32" s="157">
        <v>227</v>
      </c>
      <c r="V32" s="157">
        <v>227</v>
      </c>
      <c r="W32" s="157">
        <v>227</v>
      </c>
      <c r="X32" s="157">
        <v>227</v>
      </c>
      <c r="Y32" s="157">
        <v>227</v>
      </c>
      <c r="Z32" s="157">
        <v>227</v>
      </c>
      <c r="AA32" s="157">
        <v>227</v>
      </c>
      <c r="AB32" s="157">
        <v>227</v>
      </c>
      <c r="AC32" s="157">
        <v>227</v>
      </c>
      <c r="AD32" s="157">
        <v>227</v>
      </c>
      <c r="AE32" s="157">
        <v>227</v>
      </c>
      <c r="AF32" s="157">
        <v>0</v>
      </c>
      <c r="AG32" s="157">
        <v>227</v>
      </c>
      <c r="AH32" s="157">
        <v>0</v>
      </c>
      <c r="AI32" s="157">
        <v>227</v>
      </c>
      <c r="AJ32" s="157">
        <v>227</v>
      </c>
      <c r="AK32" s="157">
        <v>227</v>
      </c>
      <c r="AL32" s="157">
        <v>227</v>
      </c>
      <c r="AM32" s="157">
        <v>227</v>
      </c>
      <c r="AN32" s="157">
        <v>227</v>
      </c>
      <c r="AO32" s="157">
        <v>227</v>
      </c>
      <c r="AP32" s="157">
        <v>227</v>
      </c>
      <c r="AQ32" s="157">
        <v>227</v>
      </c>
      <c r="AR32" s="157">
        <f t="shared" si="2"/>
        <v>8399</v>
      </c>
      <c r="AS32" s="174" t="s">
        <v>614</v>
      </c>
    </row>
    <row r="33" spans="1:45">
      <c r="A33" s="160">
        <f t="shared" si="3"/>
        <v>45775</v>
      </c>
      <c r="B33" s="157">
        <f>YEAR(Table7[[#This Row],[Date]])+IF(MONTH(Table7[[#This Row],[Date]])&gt;=4,1,0)</f>
        <v>2026</v>
      </c>
      <c r="C33" s="157">
        <f>YEAR(Table7[[#This Row],[Date]])</f>
        <v>2025</v>
      </c>
      <c r="D33" s="159">
        <f t="shared" si="1"/>
        <v>45748</v>
      </c>
      <c r="E33" s="157">
        <v>162</v>
      </c>
      <c r="F33" s="157">
        <v>162</v>
      </c>
      <c r="G33" s="157">
        <v>162</v>
      </c>
      <c r="H33" s="157">
        <v>162</v>
      </c>
      <c r="I33" s="157">
        <v>162</v>
      </c>
      <c r="J33" s="157">
        <v>162</v>
      </c>
      <c r="K33" s="157">
        <v>162</v>
      </c>
      <c r="L33" s="157">
        <v>162</v>
      </c>
      <c r="M33" s="157">
        <v>162</v>
      </c>
      <c r="N33" s="157">
        <v>162</v>
      </c>
      <c r="O33" s="157">
        <v>162</v>
      </c>
      <c r="P33" s="157">
        <v>162</v>
      </c>
      <c r="Q33" s="157">
        <v>162</v>
      </c>
      <c r="R33" s="157">
        <v>162</v>
      </c>
      <c r="S33" s="157">
        <v>162</v>
      </c>
      <c r="T33" s="157">
        <v>162</v>
      </c>
      <c r="U33" s="157">
        <v>162</v>
      </c>
      <c r="V33" s="157">
        <v>162</v>
      </c>
      <c r="W33" s="157">
        <v>162</v>
      </c>
      <c r="X33" s="157">
        <v>162</v>
      </c>
      <c r="Y33" s="157">
        <v>162</v>
      </c>
      <c r="Z33" s="157">
        <v>162</v>
      </c>
      <c r="AA33" s="157">
        <v>162</v>
      </c>
      <c r="AB33" s="157">
        <v>162</v>
      </c>
      <c r="AC33" s="157">
        <v>162</v>
      </c>
      <c r="AD33" s="157">
        <v>162</v>
      </c>
      <c r="AE33" s="157">
        <v>162</v>
      </c>
      <c r="AF33" s="157">
        <v>0</v>
      </c>
      <c r="AG33" s="157">
        <v>162</v>
      </c>
      <c r="AH33" s="157">
        <v>0</v>
      </c>
      <c r="AI33" s="157">
        <v>162</v>
      </c>
      <c r="AJ33" s="157">
        <v>162</v>
      </c>
      <c r="AK33" s="157">
        <v>162</v>
      </c>
      <c r="AL33" s="157">
        <v>162</v>
      </c>
      <c r="AM33" s="157">
        <v>162</v>
      </c>
      <c r="AN33" s="157">
        <v>162</v>
      </c>
      <c r="AO33" s="157">
        <v>162</v>
      </c>
      <c r="AP33" s="157">
        <v>162</v>
      </c>
      <c r="AQ33" s="157">
        <v>162</v>
      </c>
      <c r="AR33" s="157">
        <f t="shared" si="2"/>
        <v>5994</v>
      </c>
      <c r="AS33" s="174" t="s">
        <v>614</v>
      </c>
    </row>
    <row r="34" spans="1:45">
      <c r="A34" s="160">
        <f t="shared" si="3"/>
        <v>45776</v>
      </c>
      <c r="B34" s="157">
        <f>YEAR(Table7[[#This Row],[Date]])+IF(MONTH(Table7[[#This Row],[Date]])&gt;=4,1,0)</f>
        <v>2026</v>
      </c>
      <c r="C34" s="157">
        <f>YEAR(Table7[[#This Row],[Date]])</f>
        <v>2025</v>
      </c>
      <c r="D34" s="159">
        <f t="shared" si="1"/>
        <v>45748</v>
      </c>
      <c r="E34" s="157">
        <v>195</v>
      </c>
      <c r="F34" s="157">
        <v>195</v>
      </c>
      <c r="G34" s="157">
        <v>195</v>
      </c>
      <c r="H34" s="157">
        <v>195</v>
      </c>
      <c r="I34" s="157">
        <v>195</v>
      </c>
      <c r="J34" s="157">
        <v>195</v>
      </c>
      <c r="K34" s="157">
        <v>195</v>
      </c>
      <c r="L34" s="157">
        <v>195</v>
      </c>
      <c r="M34" s="157">
        <v>195</v>
      </c>
      <c r="N34" s="157">
        <v>195</v>
      </c>
      <c r="O34" s="157">
        <v>195</v>
      </c>
      <c r="P34" s="157">
        <v>195</v>
      </c>
      <c r="Q34" s="157">
        <v>195</v>
      </c>
      <c r="R34" s="157">
        <v>195</v>
      </c>
      <c r="S34" s="157">
        <v>195</v>
      </c>
      <c r="T34" s="157">
        <v>195</v>
      </c>
      <c r="U34" s="157">
        <v>195</v>
      </c>
      <c r="V34" s="157">
        <v>195</v>
      </c>
      <c r="W34" s="157">
        <v>195</v>
      </c>
      <c r="X34" s="157">
        <v>195</v>
      </c>
      <c r="Y34" s="157">
        <v>195</v>
      </c>
      <c r="Z34" s="157">
        <v>195</v>
      </c>
      <c r="AA34" s="157">
        <v>195</v>
      </c>
      <c r="AB34" s="157">
        <v>195</v>
      </c>
      <c r="AC34" s="157">
        <v>195</v>
      </c>
      <c r="AD34" s="157">
        <v>195</v>
      </c>
      <c r="AE34" s="157">
        <v>195</v>
      </c>
      <c r="AF34" s="157">
        <v>0</v>
      </c>
      <c r="AG34" s="157">
        <v>195</v>
      </c>
      <c r="AH34" s="157">
        <v>0</v>
      </c>
      <c r="AI34" s="157">
        <v>195</v>
      </c>
      <c r="AJ34" s="157">
        <v>195</v>
      </c>
      <c r="AK34" s="157">
        <v>195</v>
      </c>
      <c r="AL34" s="157">
        <v>195</v>
      </c>
      <c r="AM34" s="157">
        <v>195</v>
      </c>
      <c r="AN34" s="157">
        <v>195</v>
      </c>
      <c r="AO34" s="157">
        <v>195</v>
      </c>
      <c r="AP34" s="157">
        <v>195</v>
      </c>
      <c r="AQ34" s="157">
        <v>195</v>
      </c>
      <c r="AR34" s="157">
        <f t="shared" si="2"/>
        <v>7215</v>
      </c>
      <c r="AS34" s="174" t="s">
        <v>614</v>
      </c>
    </row>
    <row r="35" spans="1:45">
      <c r="A35" s="160">
        <f t="shared" si="3"/>
        <v>45777</v>
      </c>
      <c r="B35" s="157">
        <f>YEAR(Table7[[#This Row],[Date]])+IF(MONTH(Table7[[#This Row],[Date]])&gt;=4,1,0)</f>
        <v>2026</v>
      </c>
      <c r="C35" s="157">
        <f>YEAR(Table7[[#This Row],[Date]])</f>
        <v>2025</v>
      </c>
      <c r="D35" s="159">
        <f t="shared" si="1"/>
        <v>45748</v>
      </c>
      <c r="E35" s="157">
        <v>65</v>
      </c>
      <c r="F35" s="157">
        <v>65</v>
      </c>
      <c r="G35" s="157">
        <v>65</v>
      </c>
      <c r="H35" s="157">
        <v>65</v>
      </c>
      <c r="I35" s="157">
        <v>65</v>
      </c>
      <c r="J35" s="157">
        <v>65</v>
      </c>
      <c r="K35" s="157">
        <v>65</v>
      </c>
      <c r="L35" s="157">
        <v>65</v>
      </c>
      <c r="M35" s="157">
        <v>65</v>
      </c>
      <c r="N35" s="157">
        <v>65</v>
      </c>
      <c r="O35" s="157">
        <v>65</v>
      </c>
      <c r="P35" s="157">
        <v>65</v>
      </c>
      <c r="Q35" s="157">
        <v>65</v>
      </c>
      <c r="R35" s="157">
        <v>65</v>
      </c>
      <c r="S35" s="157">
        <v>65</v>
      </c>
      <c r="T35" s="157">
        <v>65</v>
      </c>
      <c r="U35" s="157">
        <v>65</v>
      </c>
      <c r="V35" s="157">
        <v>65</v>
      </c>
      <c r="W35" s="157">
        <v>65</v>
      </c>
      <c r="X35" s="157">
        <v>65</v>
      </c>
      <c r="Y35" s="157">
        <v>65</v>
      </c>
      <c r="Z35" s="157">
        <v>65</v>
      </c>
      <c r="AA35" s="157">
        <v>65</v>
      </c>
      <c r="AB35" s="157">
        <v>65</v>
      </c>
      <c r="AC35" s="157">
        <v>65</v>
      </c>
      <c r="AD35" s="157">
        <v>65</v>
      </c>
      <c r="AE35" s="157">
        <v>65</v>
      </c>
      <c r="AF35" s="157">
        <v>0</v>
      </c>
      <c r="AG35" s="157">
        <v>65</v>
      </c>
      <c r="AH35" s="157">
        <v>0</v>
      </c>
      <c r="AI35" s="157">
        <v>65</v>
      </c>
      <c r="AJ35" s="157">
        <v>65</v>
      </c>
      <c r="AK35" s="157">
        <v>65</v>
      </c>
      <c r="AL35" s="157">
        <v>65</v>
      </c>
      <c r="AM35" s="157">
        <v>65</v>
      </c>
      <c r="AN35" s="157">
        <v>65</v>
      </c>
      <c r="AO35" s="157">
        <v>65</v>
      </c>
      <c r="AP35" s="157">
        <v>65</v>
      </c>
      <c r="AQ35" s="157">
        <v>65</v>
      </c>
      <c r="AR35" s="157">
        <f t="shared" si="2"/>
        <v>2405</v>
      </c>
      <c r="AS35" s="174" t="s">
        <v>614</v>
      </c>
    </row>
    <row r="36" spans="1:45">
      <c r="A36" s="160">
        <f t="shared" si="3"/>
        <v>45778</v>
      </c>
      <c r="B36" s="157">
        <f>YEAR(Table7[[#This Row],[Date]])+IF(MONTH(Table7[[#This Row],[Date]])&gt;=4,1,0)</f>
        <v>2026</v>
      </c>
      <c r="C36" s="157">
        <f>YEAR(Table7[[#This Row],[Date]])</f>
        <v>2025</v>
      </c>
      <c r="D36" s="159">
        <f t="shared" ref="D36:D99" si="4">A36-DAY(A36)+1</f>
        <v>45778</v>
      </c>
      <c r="E36" s="157">
        <v>0</v>
      </c>
      <c r="F36" s="157">
        <v>0</v>
      </c>
      <c r="G36" s="157">
        <v>0</v>
      </c>
      <c r="H36" s="157">
        <v>0</v>
      </c>
      <c r="I36" s="157">
        <v>0</v>
      </c>
      <c r="J36" s="157">
        <v>0</v>
      </c>
      <c r="K36" s="157">
        <v>0</v>
      </c>
      <c r="L36" s="157">
        <v>0</v>
      </c>
      <c r="M36" s="157">
        <v>0</v>
      </c>
      <c r="N36" s="157">
        <v>0</v>
      </c>
      <c r="O36" s="157">
        <v>0</v>
      </c>
      <c r="P36" s="157">
        <v>0</v>
      </c>
      <c r="Q36" s="157">
        <v>0</v>
      </c>
      <c r="R36" s="157">
        <v>0</v>
      </c>
      <c r="S36" s="157">
        <v>0</v>
      </c>
      <c r="T36" s="157">
        <v>0</v>
      </c>
      <c r="U36" s="157">
        <v>0</v>
      </c>
      <c r="V36" s="157">
        <v>0</v>
      </c>
      <c r="W36" s="157">
        <v>0</v>
      </c>
      <c r="X36" s="157">
        <v>0</v>
      </c>
      <c r="Y36" s="157">
        <v>0</v>
      </c>
      <c r="Z36" s="157">
        <v>0</v>
      </c>
      <c r="AA36" s="157">
        <v>0</v>
      </c>
      <c r="AB36" s="157">
        <v>0</v>
      </c>
      <c r="AC36" s="157">
        <v>0</v>
      </c>
      <c r="AD36" s="157">
        <v>0</v>
      </c>
      <c r="AE36" s="157">
        <v>0</v>
      </c>
      <c r="AF36" s="157">
        <v>0</v>
      </c>
      <c r="AG36" s="157">
        <v>0</v>
      </c>
      <c r="AH36" s="157">
        <v>0</v>
      </c>
      <c r="AI36" s="157">
        <v>0</v>
      </c>
      <c r="AJ36" s="157">
        <v>0</v>
      </c>
      <c r="AK36" s="157">
        <v>0</v>
      </c>
      <c r="AL36" s="157">
        <v>0</v>
      </c>
      <c r="AM36" s="157">
        <v>0</v>
      </c>
      <c r="AN36" s="157">
        <v>0</v>
      </c>
      <c r="AO36" s="157">
        <v>0</v>
      </c>
      <c r="AP36" s="157">
        <v>0</v>
      </c>
      <c r="AQ36" s="157">
        <v>0</v>
      </c>
      <c r="AR36" s="157">
        <f t="shared" si="2"/>
        <v>0</v>
      </c>
      <c r="AS36" s="174" t="s">
        <v>614</v>
      </c>
    </row>
    <row r="37" spans="1:45">
      <c r="A37" s="160">
        <f t="shared" si="3"/>
        <v>45779</v>
      </c>
      <c r="B37" s="157">
        <f>YEAR(Table7[[#This Row],[Date]])+IF(MONTH(Table7[[#This Row],[Date]])&gt;=4,1,0)</f>
        <v>2026</v>
      </c>
      <c r="C37" s="157">
        <f>YEAR(Table7[[#This Row],[Date]])</f>
        <v>2025</v>
      </c>
      <c r="D37" s="159">
        <f t="shared" si="4"/>
        <v>45778</v>
      </c>
      <c r="E37" s="157">
        <v>162</v>
      </c>
      <c r="F37" s="157">
        <v>162</v>
      </c>
      <c r="G37" s="157">
        <v>162</v>
      </c>
      <c r="H37" s="157">
        <v>162</v>
      </c>
      <c r="I37" s="157">
        <v>162</v>
      </c>
      <c r="J37" s="157">
        <v>162</v>
      </c>
      <c r="K37" s="157">
        <v>162</v>
      </c>
      <c r="L37" s="157">
        <v>162</v>
      </c>
      <c r="M37" s="157">
        <v>162</v>
      </c>
      <c r="N37" s="157">
        <v>162</v>
      </c>
      <c r="O37" s="157">
        <v>162</v>
      </c>
      <c r="P37" s="157">
        <v>162</v>
      </c>
      <c r="Q37" s="157">
        <v>162</v>
      </c>
      <c r="R37" s="157">
        <v>162</v>
      </c>
      <c r="S37" s="157">
        <v>162</v>
      </c>
      <c r="T37" s="157">
        <v>162</v>
      </c>
      <c r="U37" s="157">
        <v>162</v>
      </c>
      <c r="V37" s="157">
        <v>162</v>
      </c>
      <c r="W37" s="157">
        <v>162</v>
      </c>
      <c r="X37" s="157">
        <v>162</v>
      </c>
      <c r="Y37" s="157">
        <v>162</v>
      </c>
      <c r="Z37" s="157">
        <v>162</v>
      </c>
      <c r="AA37" s="157">
        <v>162</v>
      </c>
      <c r="AB37" s="157">
        <v>162</v>
      </c>
      <c r="AC37" s="157">
        <v>162</v>
      </c>
      <c r="AD37" s="157">
        <v>162</v>
      </c>
      <c r="AE37" s="157">
        <v>162</v>
      </c>
      <c r="AF37" s="157">
        <v>0</v>
      </c>
      <c r="AG37" s="157">
        <v>162</v>
      </c>
      <c r="AH37" s="157">
        <v>0</v>
      </c>
      <c r="AI37" s="157">
        <v>162</v>
      </c>
      <c r="AJ37" s="157">
        <v>162</v>
      </c>
      <c r="AK37" s="157">
        <v>162</v>
      </c>
      <c r="AL37" s="157">
        <v>162</v>
      </c>
      <c r="AM37" s="157">
        <v>162</v>
      </c>
      <c r="AN37" s="157">
        <v>162</v>
      </c>
      <c r="AO37" s="157">
        <v>162</v>
      </c>
      <c r="AP37" s="157">
        <v>162</v>
      </c>
      <c r="AQ37" s="157">
        <v>162</v>
      </c>
      <c r="AR37" s="157">
        <f t="shared" si="2"/>
        <v>5994</v>
      </c>
      <c r="AS37" s="174" t="s">
        <v>614</v>
      </c>
    </row>
    <row r="38" spans="1:45">
      <c r="A38" s="160">
        <f t="shared" ref="A38:A101" si="5">A37+1</f>
        <v>45780</v>
      </c>
      <c r="B38" s="157">
        <f>YEAR(Table7[[#This Row],[Date]])+IF(MONTH(Table7[[#This Row],[Date]])&gt;=4,1,0)</f>
        <v>2026</v>
      </c>
      <c r="C38" s="157">
        <f>YEAR(Table7[[#This Row],[Date]])</f>
        <v>2025</v>
      </c>
      <c r="D38" s="159">
        <f t="shared" si="4"/>
        <v>45778</v>
      </c>
      <c r="E38" s="157">
        <v>32</v>
      </c>
      <c r="F38" s="157">
        <v>32</v>
      </c>
      <c r="G38" s="157">
        <v>32</v>
      </c>
      <c r="H38" s="157">
        <v>32</v>
      </c>
      <c r="I38" s="157">
        <v>32</v>
      </c>
      <c r="J38" s="157">
        <v>32</v>
      </c>
      <c r="K38" s="157">
        <v>32</v>
      </c>
      <c r="L38" s="157">
        <v>32</v>
      </c>
      <c r="M38" s="157">
        <v>32</v>
      </c>
      <c r="N38" s="157">
        <v>32</v>
      </c>
      <c r="O38" s="157">
        <v>32</v>
      </c>
      <c r="P38" s="157">
        <v>32</v>
      </c>
      <c r="Q38" s="157">
        <v>32</v>
      </c>
      <c r="R38" s="157">
        <v>32</v>
      </c>
      <c r="S38" s="157">
        <v>32</v>
      </c>
      <c r="T38" s="157">
        <v>32</v>
      </c>
      <c r="U38" s="157">
        <v>32</v>
      </c>
      <c r="V38" s="157">
        <v>32</v>
      </c>
      <c r="W38" s="157">
        <v>32</v>
      </c>
      <c r="X38" s="157">
        <v>32</v>
      </c>
      <c r="Y38" s="157">
        <v>32</v>
      </c>
      <c r="Z38" s="157">
        <v>32</v>
      </c>
      <c r="AA38" s="157">
        <v>32</v>
      </c>
      <c r="AB38" s="157">
        <v>32</v>
      </c>
      <c r="AC38" s="157">
        <v>32</v>
      </c>
      <c r="AD38" s="157">
        <v>32</v>
      </c>
      <c r="AE38" s="157">
        <v>32</v>
      </c>
      <c r="AF38" s="157">
        <v>0</v>
      </c>
      <c r="AG38" s="157">
        <v>32</v>
      </c>
      <c r="AH38" s="157">
        <v>0</v>
      </c>
      <c r="AI38" s="157">
        <v>32</v>
      </c>
      <c r="AJ38" s="157">
        <v>32</v>
      </c>
      <c r="AK38" s="157">
        <v>32</v>
      </c>
      <c r="AL38" s="157">
        <v>32</v>
      </c>
      <c r="AM38" s="157">
        <v>32</v>
      </c>
      <c r="AN38" s="157">
        <v>32</v>
      </c>
      <c r="AO38" s="157">
        <v>32</v>
      </c>
      <c r="AP38" s="157">
        <v>32</v>
      </c>
      <c r="AQ38" s="157">
        <v>32</v>
      </c>
      <c r="AR38" s="157">
        <f t="shared" si="2"/>
        <v>1184</v>
      </c>
      <c r="AS38" s="174" t="s">
        <v>614</v>
      </c>
    </row>
    <row r="39" spans="1:45">
      <c r="A39" s="160">
        <f t="shared" si="5"/>
        <v>45781</v>
      </c>
      <c r="B39" s="157">
        <f>YEAR(Table7[[#This Row],[Date]])+IF(MONTH(Table7[[#This Row],[Date]])&gt;=4,1,0)</f>
        <v>2026</v>
      </c>
      <c r="C39" s="157">
        <f>YEAR(Table7[[#This Row],[Date]])</f>
        <v>2025</v>
      </c>
      <c r="D39" s="159">
        <f t="shared" si="4"/>
        <v>45778</v>
      </c>
      <c r="E39" s="157">
        <v>65</v>
      </c>
      <c r="F39" s="157">
        <v>65</v>
      </c>
      <c r="G39" s="157">
        <v>65</v>
      </c>
      <c r="H39" s="157">
        <v>65</v>
      </c>
      <c r="I39" s="157">
        <v>65</v>
      </c>
      <c r="J39" s="157">
        <v>65</v>
      </c>
      <c r="K39" s="157">
        <v>65</v>
      </c>
      <c r="L39" s="157">
        <v>65</v>
      </c>
      <c r="M39" s="157">
        <v>65</v>
      </c>
      <c r="N39" s="157">
        <v>65</v>
      </c>
      <c r="O39" s="157">
        <v>65</v>
      </c>
      <c r="P39" s="157">
        <v>65</v>
      </c>
      <c r="Q39" s="157">
        <v>65</v>
      </c>
      <c r="R39" s="157">
        <v>65</v>
      </c>
      <c r="S39" s="157">
        <v>65</v>
      </c>
      <c r="T39" s="157">
        <v>65</v>
      </c>
      <c r="U39" s="157">
        <v>65</v>
      </c>
      <c r="V39" s="157">
        <v>65</v>
      </c>
      <c r="W39" s="157">
        <v>65</v>
      </c>
      <c r="X39" s="157">
        <v>65</v>
      </c>
      <c r="Y39" s="157">
        <v>65</v>
      </c>
      <c r="Z39" s="157">
        <v>65</v>
      </c>
      <c r="AA39" s="157">
        <v>65</v>
      </c>
      <c r="AB39" s="157">
        <v>65</v>
      </c>
      <c r="AC39" s="157">
        <v>65</v>
      </c>
      <c r="AD39" s="157">
        <v>65</v>
      </c>
      <c r="AE39" s="157">
        <v>65</v>
      </c>
      <c r="AF39" s="157">
        <v>0</v>
      </c>
      <c r="AG39" s="157">
        <v>65</v>
      </c>
      <c r="AH39" s="157">
        <v>0</v>
      </c>
      <c r="AI39" s="157">
        <v>65</v>
      </c>
      <c r="AJ39" s="157">
        <v>65</v>
      </c>
      <c r="AK39" s="157">
        <v>65</v>
      </c>
      <c r="AL39" s="157">
        <v>65</v>
      </c>
      <c r="AM39" s="157">
        <v>65</v>
      </c>
      <c r="AN39" s="157">
        <v>65</v>
      </c>
      <c r="AO39" s="157">
        <v>65</v>
      </c>
      <c r="AP39" s="157">
        <v>65</v>
      </c>
      <c r="AQ39" s="157">
        <v>65</v>
      </c>
      <c r="AR39" s="157">
        <f t="shared" si="2"/>
        <v>2405</v>
      </c>
      <c r="AS39" s="185" t="s">
        <v>614</v>
      </c>
    </row>
    <row r="40" spans="1:45">
      <c r="A40" s="160">
        <f t="shared" si="5"/>
        <v>45782</v>
      </c>
      <c r="B40" s="157">
        <f>YEAR(Table7[[#This Row],[Date]])+IF(MONTH(Table7[[#This Row],[Date]])&gt;=4,1,0)</f>
        <v>2026</v>
      </c>
      <c r="C40" s="157">
        <f>YEAR(Table7[[#This Row],[Date]])</f>
        <v>2025</v>
      </c>
      <c r="D40" s="159">
        <f t="shared" si="4"/>
        <v>45778</v>
      </c>
      <c r="E40" s="157">
        <v>162</v>
      </c>
      <c r="F40" s="157">
        <v>162</v>
      </c>
      <c r="G40" s="157">
        <v>162</v>
      </c>
      <c r="H40" s="157">
        <v>162</v>
      </c>
      <c r="I40" s="157">
        <v>162</v>
      </c>
      <c r="J40" s="157">
        <v>162</v>
      </c>
      <c r="K40" s="157">
        <v>162</v>
      </c>
      <c r="L40" s="157">
        <v>162</v>
      </c>
      <c r="M40" s="157">
        <v>162</v>
      </c>
      <c r="N40" s="157">
        <v>162</v>
      </c>
      <c r="O40" s="157">
        <v>162</v>
      </c>
      <c r="P40" s="157">
        <v>162</v>
      </c>
      <c r="Q40" s="157">
        <v>162</v>
      </c>
      <c r="R40" s="157">
        <v>162</v>
      </c>
      <c r="S40" s="157">
        <v>162</v>
      </c>
      <c r="T40" s="157">
        <v>162</v>
      </c>
      <c r="U40" s="157">
        <v>162</v>
      </c>
      <c r="V40" s="157">
        <v>162</v>
      </c>
      <c r="W40" s="157">
        <v>162</v>
      </c>
      <c r="X40" s="157">
        <v>162</v>
      </c>
      <c r="Y40" s="157">
        <v>162</v>
      </c>
      <c r="Z40" s="157">
        <v>162</v>
      </c>
      <c r="AA40" s="157">
        <v>162</v>
      </c>
      <c r="AB40" s="157">
        <v>162</v>
      </c>
      <c r="AC40" s="157">
        <v>0</v>
      </c>
      <c r="AD40" s="157">
        <v>162</v>
      </c>
      <c r="AE40" s="157">
        <v>162</v>
      </c>
      <c r="AF40" s="157">
        <v>0</v>
      </c>
      <c r="AG40" s="157">
        <v>162</v>
      </c>
      <c r="AH40" s="157">
        <v>0</v>
      </c>
      <c r="AI40" s="157">
        <v>162</v>
      </c>
      <c r="AJ40" s="157">
        <v>162</v>
      </c>
      <c r="AK40" s="157">
        <v>162</v>
      </c>
      <c r="AL40" s="157">
        <v>162</v>
      </c>
      <c r="AM40" s="157">
        <v>162</v>
      </c>
      <c r="AN40" s="157">
        <v>162</v>
      </c>
      <c r="AO40" s="157">
        <v>162</v>
      </c>
      <c r="AP40" s="157">
        <v>162</v>
      </c>
      <c r="AQ40" s="157">
        <v>162</v>
      </c>
      <c r="AR40" s="157">
        <f t="shared" si="2"/>
        <v>5832</v>
      </c>
      <c r="AS40" s="185" t="s">
        <v>614</v>
      </c>
    </row>
    <row r="41" spans="1:45">
      <c r="A41" s="160">
        <f t="shared" si="5"/>
        <v>45783</v>
      </c>
      <c r="B41" s="157">
        <f>YEAR(Table7[[#This Row],[Date]])+IF(MONTH(Table7[[#This Row],[Date]])&gt;=4,1,0)</f>
        <v>2026</v>
      </c>
      <c r="C41" s="157">
        <f>YEAR(Table7[[#This Row],[Date]])</f>
        <v>2025</v>
      </c>
      <c r="D41" s="159">
        <f t="shared" si="4"/>
        <v>45778</v>
      </c>
      <c r="E41" s="157">
        <v>98</v>
      </c>
      <c r="F41" s="157">
        <v>98</v>
      </c>
      <c r="G41" s="157">
        <v>98</v>
      </c>
      <c r="H41" s="157">
        <v>98</v>
      </c>
      <c r="I41" s="157">
        <v>98</v>
      </c>
      <c r="J41" s="157">
        <v>98</v>
      </c>
      <c r="K41" s="157">
        <v>98</v>
      </c>
      <c r="L41" s="157">
        <v>98</v>
      </c>
      <c r="M41" s="157">
        <v>98</v>
      </c>
      <c r="N41" s="157">
        <v>98</v>
      </c>
      <c r="O41" s="157">
        <v>98</v>
      </c>
      <c r="P41" s="157">
        <v>98</v>
      </c>
      <c r="Q41" s="157">
        <v>98</v>
      </c>
      <c r="R41" s="157">
        <v>98</v>
      </c>
      <c r="S41" s="157">
        <v>98</v>
      </c>
      <c r="T41" s="157">
        <v>98</v>
      </c>
      <c r="U41" s="157">
        <v>98</v>
      </c>
      <c r="V41" s="157">
        <v>98</v>
      </c>
      <c r="W41" s="157">
        <v>98</v>
      </c>
      <c r="X41" s="157">
        <v>98</v>
      </c>
      <c r="Y41" s="157">
        <v>98</v>
      </c>
      <c r="Z41" s="157">
        <v>98</v>
      </c>
      <c r="AA41" s="157">
        <v>98</v>
      </c>
      <c r="AB41" s="157">
        <v>98</v>
      </c>
      <c r="AC41" s="157">
        <v>72</v>
      </c>
      <c r="AD41" s="157">
        <v>98</v>
      </c>
      <c r="AE41" s="157">
        <v>98</v>
      </c>
      <c r="AF41" s="157">
        <v>0</v>
      </c>
      <c r="AG41" s="157">
        <v>98</v>
      </c>
      <c r="AH41" s="157">
        <v>0</v>
      </c>
      <c r="AI41" s="157">
        <v>98</v>
      </c>
      <c r="AJ41" s="157">
        <v>98</v>
      </c>
      <c r="AK41" s="157">
        <v>98</v>
      </c>
      <c r="AL41" s="157">
        <v>98</v>
      </c>
      <c r="AM41" s="157">
        <v>98</v>
      </c>
      <c r="AN41" s="157">
        <v>98</v>
      </c>
      <c r="AO41" s="157">
        <v>98</v>
      </c>
      <c r="AP41" s="157">
        <v>98</v>
      </c>
      <c r="AQ41" s="157">
        <v>98</v>
      </c>
      <c r="AR41" s="157">
        <f t="shared" si="2"/>
        <v>3600</v>
      </c>
      <c r="AS41" s="185" t="s">
        <v>614</v>
      </c>
    </row>
    <row r="42" spans="1:45">
      <c r="A42" s="160">
        <f t="shared" si="5"/>
        <v>45784</v>
      </c>
      <c r="B42" s="157">
        <f>YEAR(Table7[[#This Row],[Date]])+IF(MONTH(Table7[[#This Row],[Date]])&gt;=4,1,0)</f>
        <v>2026</v>
      </c>
      <c r="C42" s="157">
        <f>YEAR(Table7[[#This Row],[Date]])</f>
        <v>2025</v>
      </c>
      <c r="D42" s="159">
        <f t="shared" si="4"/>
        <v>45778</v>
      </c>
      <c r="E42" s="157">
        <v>130</v>
      </c>
      <c r="F42" s="157">
        <v>130</v>
      </c>
      <c r="G42" s="157">
        <v>130</v>
      </c>
      <c r="H42" s="157">
        <v>130</v>
      </c>
      <c r="I42" s="157">
        <v>130</v>
      </c>
      <c r="J42" s="157">
        <v>130</v>
      </c>
      <c r="K42" s="157">
        <v>130</v>
      </c>
      <c r="L42" s="157">
        <v>130</v>
      </c>
      <c r="M42" s="157">
        <v>130</v>
      </c>
      <c r="N42" s="157">
        <v>130</v>
      </c>
      <c r="O42" s="157">
        <v>130</v>
      </c>
      <c r="P42" s="157">
        <v>130</v>
      </c>
      <c r="Q42" s="157">
        <v>130</v>
      </c>
      <c r="R42" s="157">
        <v>130</v>
      </c>
      <c r="S42" s="157">
        <v>130</v>
      </c>
      <c r="T42" s="157">
        <v>130</v>
      </c>
      <c r="U42" s="157">
        <v>130</v>
      </c>
      <c r="V42" s="157">
        <v>130</v>
      </c>
      <c r="W42" s="157">
        <v>130</v>
      </c>
      <c r="X42" s="157">
        <v>130</v>
      </c>
      <c r="Y42" s="157">
        <v>130</v>
      </c>
      <c r="Z42" s="157">
        <v>130</v>
      </c>
      <c r="AA42" s="157">
        <v>130</v>
      </c>
      <c r="AB42" s="157">
        <v>130</v>
      </c>
      <c r="AC42" s="157">
        <v>130</v>
      </c>
      <c r="AD42" s="157">
        <v>130</v>
      </c>
      <c r="AE42" s="157">
        <v>130</v>
      </c>
      <c r="AF42" s="157">
        <v>0</v>
      </c>
      <c r="AG42" s="157">
        <v>130</v>
      </c>
      <c r="AH42" s="157">
        <v>0</v>
      </c>
      <c r="AI42" s="157">
        <v>130</v>
      </c>
      <c r="AJ42" s="157">
        <v>130</v>
      </c>
      <c r="AK42" s="157">
        <v>130</v>
      </c>
      <c r="AL42" s="157">
        <v>130</v>
      </c>
      <c r="AM42" s="157">
        <v>130</v>
      </c>
      <c r="AN42" s="157">
        <v>130</v>
      </c>
      <c r="AO42" s="157">
        <v>130</v>
      </c>
      <c r="AP42" s="157">
        <v>130</v>
      </c>
      <c r="AQ42" s="157">
        <v>130</v>
      </c>
      <c r="AR42" s="157">
        <f t="shared" si="2"/>
        <v>4810</v>
      </c>
      <c r="AS42" s="185" t="s">
        <v>614</v>
      </c>
    </row>
    <row r="43" spans="1:45">
      <c r="A43" s="160">
        <f t="shared" si="5"/>
        <v>45785</v>
      </c>
      <c r="B43" s="157">
        <f>YEAR(Table7[[#This Row],[Date]])+IF(MONTH(Table7[[#This Row],[Date]])&gt;=4,1,0)</f>
        <v>2026</v>
      </c>
      <c r="C43" s="157">
        <f>YEAR(Table7[[#This Row],[Date]])</f>
        <v>2025</v>
      </c>
      <c r="D43" s="159">
        <f t="shared" si="4"/>
        <v>45778</v>
      </c>
      <c r="E43" s="157">
        <v>97</v>
      </c>
      <c r="F43" s="157">
        <v>97</v>
      </c>
      <c r="G43" s="157">
        <v>97</v>
      </c>
      <c r="H43" s="157">
        <v>97</v>
      </c>
      <c r="I43" s="157">
        <v>97</v>
      </c>
      <c r="J43" s="157">
        <v>97</v>
      </c>
      <c r="K43" s="157">
        <v>97</v>
      </c>
      <c r="L43" s="157">
        <v>97</v>
      </c>
      <c r="M43" s="157">
        <v>97</v>
      </c>
      <c r="N43" s="157">
        <v>97</v>
      </c>
      <c r="O43" s="157">
        <v>97</v>
      </c>
      <c r="P43" s="157">
        <v>97</v>
      </c>
      <c r="Q43" s="157">
        <v>97</v>
      </c>
      <c r="R43" s="157">
        <v>97</v>
      </c>
      <c r="S43" s="157">
        <v>97</v>
      </c>
      <c r="T43" s="157">
        <v>97</v>
      </c>
      <c r="U43" s="157">
        <v>97</v>
      </c>
      <c r="V43" s="157">
        <v>97</v>
      </c>
      <c r="W43" s="157">
        <v>97</v>
      </c>
      <c r="X43" s="157">
        <v>97</v>
      </c>
      <c r="Y43" s="157">
        <v>97</v>
      </c>
      <c r="Z43" s="157">
        <v>97</v>
      </c>
      <c r="AA43" s="157">
        <v>97</v>
      </c>
      <c r="AB43" s="157">
        <v>97</v>
      </c>
      <c r="AC43" s="157">
        <v>97</v>
      </c>
      <c r="AD43" s="157">
        <v>97</v>
      </c>
      <c r="AE43" s="157">
        <v>97</v>
      </c>
      <c r="AF43" s="157">
        <v>0</v>
      </c>
      <c r="AG43" s="157">
        <v>97</v>
      </c>
      <c r="AH43" s="157">
        <v>0</v>
      </c>
      <c r="AI43" s="157">
        <v>97</v>
      </c>
      <c r="AJ43" s="157">
        <v>97</v>
      </c>
      <c r="AK43" s="157">
        <v>97</v>
      </c>
      <c r="AL43" s="157">
        <v>97</v>
      </c>
      <c r="AM43" s="157">
        <v>97</v>
      </c>
      <c r="AN43" s="157">
        <v>97</v>
      </c>
      <c r="AO43" s="157">
        <v>97</v>
      </c>
      <c r="AP43" s="157">
        <v>97</v>
      </c>
      <c r="AQ43" s="157">
        <v>97</v>
      </c>
      <c r="AR43" s="157">
        <f t="shared" si="2"/>
        <v>3589</v>
      </c>
      <c r="AS43" s="185" t="s">
        <v>614</v>
      </c>
    </row>
    <row r="44" spans="1:45">
      <c r="A44" s="160">
        <f t="shared" si="5"/>
        <v>45786</v>
      </c>
      <c r="B44" s="157">
        <f>YEAR(Table7[[#This Row],[Date]])+IF(MONTH(Table7[[#This Row],[Date]])&gt;=4,1,0)</f>
        <v>2026</v>
      </c>
      <c r="C44" s="157">
        <f>YEAR(Table7[[#This Row],[Date]])</f>
        <v>2025</v>
      </c>
      <c r="D44" s="159">
        <f t="shared" si="4"/>
        <v>45778</v>
      </c>
      <c r="E44" s="157">
        <v>422</v>
      </c>
      <c r="F44" s="157">
        <v>422</v>
      </c>
      <c r="G44" s="157">
        <v>422</v>
      </c>
      <c r="H44" s="157">
        <v>422</v>
      </c>
      <c r="I44" s="157">
        <v>422</v>
      </c>
      <c r="J44" s="157">
        <v>422</v>
      </c>
      <c r="K44" s="157">
        <v>422</v>
      </c>
      <c r="L44" s="157">
        <v>422</v>
      </c>
      <c r="M44" s="157">
        <v>422</v>
      </c>
      <c r="N44" s="157">
        <v>422</v>
      </c>
      <c r="O44" s="157">
        <v>422</v>
      </c>
      <c r="P44" s="157">
        <v>422</v>
      </c>
      <c r="Q44" s="157">
        <v>422</v>
      </c>
      <c r="R44" s="157">
        <v>422</v>
      </c>
      <c r="S44" s="157">
        <v>422</v>
      </c>
      <c r="T44" s="157">
        <v>422</v>
      </c>
      <c r="U44" s="157">
        <v>422</v>
      </c>
      <c r="V44" s="157">
        <v>422</v>
      </c>
      <c r="W44" s="157">
        <v>422</v>
      </c>
      <c r="X44" s="157">
        <v>422</v>
      </c>
      <c r="Y44" s="157">
        <v>422</v>
      </c>
      <c r="Z44" s="157">
        <v>422</v>
      </c>
      <c r="AA44" s="157">
        <v>422</v>
      </c>
      <c r="AB44" s="157">
        <v>422</v>
      </c>
      <c r="AC44" s="157">
        <v>422</v>
      </c>
      <c r="AD44" s="157">
        <v>422</v>
      </c>
      <c r="AE44" s="157">
        <v>422</v>
      </c>
      <c r="AF44" s="157">
        <v>0</v>
      </c>
      <c r="AG44" s="157">
        <v>422</v>
      </c>
      <c r="AH44" s="157">
        <v>0</v>
      </c>
      <c r="AI44" s="157">
        <v>422</v>
      </c>
      <c r="AJ44" s="157">
        <v>422</v>
      </c>
      <c r="AK44" s="157">
        <v>422</v>
      </c>
      <c r="AL44" s="157">
        <v>422</v>
      </c>
      <c r="AM44" s="157">
        <v>422</v>
      </c>
      <c r="AN44" s="157">
        <v>422</v>
      </c>
      <c r="AO44" s="157">
        <v>422</v>
      </c>
      <c r="AP44" s="157">
        <v>422</v>
      </c>
      <c r="AQ44" s="157">
        <v>422</v>
      </c>
      <c r="AR44" s="157">
        <f t="shared" si="2"/>
        <v>15614</v>
      </c>
      <c r="AS44" s="185" t="s">
        <v>614</v>
      </c>
    </row>
    <row r="45" spans="1:45">
      <c r="A45" s="160">
        <f t="shared" si="5"/>
        <v>45787</v>
      </c>
      <c r="B45" s="157">
        <f>YEAR(Table7[[#This Row],[Date]])+IF(MONTH(Table7[[#This Row],[Date]])&gt;=4,1,0)</f>
        <v>2026</v>
      </c>
      <c r="C45" s="157">
        <f>YEAR(Table7[[#This Row],[Date]])</f>
        <v>2025</v>
      </c>
      <c r="D45" s="159">
        <f t="shared" si="4"/>
        <v>45778</v>
      </c>
      <c r="E45" s="157">
        <v>291</v>
      </c>
      <c r="F45" s="157">
        <v>291</v>
      </c>
      <c r="G45" s="157">
        <v>291</v>
      </c>
      <c r="H45" s="157">
        <v>291</v>
      </c>
      <c r="I45" s="157">
        <v>291</v>
      </c>
      <c r="J45" s="157">
        <v>291</v>
      </c>
      <c r="K45" s="157">
        <v>291</v>
      </c>
      <c r="L45" s="157">
        <v>291</v>
      </c>
      <c r="M45" s="157">
        <v>291</v>
      </c>
      <c r="N45" s="157">
        <v>291</v>
      </c>
      <c r="O45" s="157">
        <v>291</v>
      </c>
      <c r="P45" s="157">
        <v>291</v>
      </c>
      <c r="Q45" s="157">
        <v>291</v>
      </c>
      <c r="R45" s="157">
        <v>291</v>
      </c>
      <c r="S45" s="157">
        <v>291</v>
      </c>
      <c r="T45" s="157">
        <v>291</v>
      </c>
      <c r="U45" s="157">
        <v>291</v>
      </c>
      <c r="V45" s="157">
        <v>291</v>
      </c>
      <c r="W45" s="157">
        <v>291</v>
      </c>
      <c r="X45" s="157">
        <v>291</v>
      </c>
      <c r="Y45" s="157">
        <v>291</v>
      </c>
      <c r="Z45" s="157">
        <v>291</v>
      </c>
      <c r="AA45" s="157">
        <v>291</v>
      </c>
      <c r="AB45" s="157">
        <v>291</v>
      </c>
      <c r="AC45" s="157">
        <v>291</v>
      </c>
      <c r="AD45" s="157">
        <v>291</v>
      </c>
      <c r="AE45" s="157">
        <v>291</v>
      </c>
      <c r="AF45" s="157">
        <v>0</v>
      </c>
      <c r="AG45" s="157">
        <v>291</v>
      </c>
      <c r="AH45" s="157">
        <v>0</v>
      </c>
      <c r="AI45" s="157">
        <v>291</v>
      </c>
      <c r="AJ45" s="157">
        <v>291</v>
      </c>
      <c r="AK45" s="157">
        <v>291</v>
      </c>
      <c r="AL45" s="157">
        <v>291</v>
      </c>
      <c r="AM45" s="157">
        <v>291</v>
      </c>
      <c r="AN45" s="157">
        <v>291</v>
      </c>
      <c r="AO45" s="157">
        <v>291</v>
      </c>
      <c r="AP45" s="157">
        <v>291</v>
      </c>
      <c r="AQ45" s="157">
        <v>291</v>
      </c>
      <c r="AR45" s="157">
        <f t="shared" si="2"/>
        <v>10767</v>
      </c>
      <c r="AS45" s="185" t="s">
        <v>614</v>
      </c>
    </row>
    <row r="46" spans="1:45">
      <c r="A46" s="160">
        <f t="shared" si="5"/>
        <v>45788</v>
      </c>
      <c r="B46" s="157">
        <f>YEAR(Table7[[#This Row],[Date]])+IF(MONTH(Table7[[#This Row],[Date]])&gt;=4,1,0)</f>
        <v>2026</v>
      </c>
      <c r="C46" s="157">
        <f>YEAR(Table7[[#This Row],[Date]])</f>
        <v>2025</v>
      </c>
      <c r="D46" s="159">
        <f t="shared" si="4"/>
        <v>45778</v>
      </c>
      <c r="E46" s="157">
        <v>162</v>
      </c>
      <c r="F46" s="157">
        <v>162</v>
      </c>
      <c r="G46" s="157">
        <v>162</v>
      </c>
      <c r="H46" s="157">
        <v>162</v>
      </c>
      <c r="I46" s="157">
        <v>162</v>
      </c>
      <c r="J46" s="157">
        <v>162</v>
      </c>
      <c r="K46" s="157">
        <v>162</v>
      </c>
      <c r="L46" s="157">
        <v>162</v>
      </c>
      <c r="M46" s="157">
        <v>162</v>
      </c>
      <c r="N46" s="157">
        <v>162</v>
      </c>
      <c r="O46" s="157">
        <v>162</v>
      </c>
      <c r="P46" s="157">
        <v>162</v>
      </c>
      <c r="Q46" s="157">
        <v>162</v>
      </c>
      <c r="R46" s="157">
        <v>162</v>
      </c>
      <c r="S46" s="157">
        <v>162</v>
      </c>
      <c r="T46" s="157">
        <v>162</v>
      </c>
      <c r="U46" s="157">
        <v>162</v>
      </c>
      <c r="V46" s="157">
        <v>162</v>
      </c>
      <c r="W46" s="157">
        <v>162</v>
      </c>
      <c r="X46" s="157">
        <v>162</v>
      </c>
      <c r="Y46" s="157">
        <v>162</v>
      </c>
      <c r="Z46" s="157">
        <v>162</v>
      </c>
      <c r="AA46" s="157">
        <v>162</v>
      </c>
      <c r="AB46" s="157">
        <v>162</v>
      </c>
      <c r="AC46" s="157">
        <v>162</v>
      </c>
      <c r="AD46" s="157">
        <v>162</v>
      </c>
      <c r="AE46" s="157">
        <v>162</v>
      </c>
      <c r="AF46" s="157">
        <v>0</v>
      </c>
      <c r="AG46" s="157">
        <v>162</v>
      </c>
      <c r="AH46" s="157">
        <v>0</v>
      </c>
      <c r="AI46" s="157">
        <v>162</v>
      </c>
      <c r="AJ46" s="157">
        <v>162</v>
      </c>
      <c r="AK46" s="157">
        <v>162</v>
      </c>
      <c r="AL46" s="157">
        <v>162</v>
      </c>
      <c r="AM46" s="157">
        <v>162</v>
      </c>
      <c r="AN46" s="157">
        <v>162</v>
      </c>
      <c r="AO46" s="157">
        <v>162</v>
      </c>
      <c r="AP46" s="157">
        <v>162</v>
      </c>
      <c r="AQ46" s="157">
        <v>162</v>
      </c>
      <c r="AR46" s="157">
        <f t="shared" si="2"/>
        <v>5994</v>
      </c>
      <c r="AS46" s="185" t="s">
        <v>614</v>
      </c>
    </row>
    <row r="47" spans="1:45">
      <c r="A47" s="160">
        <f t="shared" si="5"/>
        <v>45789</v>
      </c>
      <c r="B47" s="157">
        <f>YEAR(Table7[[#This Row],[Date]])+IF(MONTH(Table7[[#This Row],[Date]])&gt;=4,1,0)</f>
        <v>2026</v>
      </c>
      <c r="C47" s="157">
        <f>YEAR(Table7[[#This Row],[Date]])</f>
        <v>2025</v>
      </c>
      <c r="D47" s="159">
        <f t="shared" si="4"/>
        <v>45778</v>
      </c>
      <c r="E47" s="157">
        <v>162</v>
      </c>
      <c r="F47" s="157">
        <v>162</v>
      </c>
      <c r="G47" s="157">
        <v>162</v>
      </c>
      <c r="H47" s="157">
        <v>162</v>
      </c>
      <c r="I47" s="157">
        <v>162</v>
      </c>
      <c r="J47" s="157">
        <v>162</v>
      </c>
      <c r="K47" s="157">
        <v>162</v>
      </c>
      <c r="L47" s="157">
        <v>162</v>
      </c>
      <c r="M47" s="157">
        <v>162</v>
      </c>
      <c r="N47" s="157">
        <v>162</v>
      </c>
      <c r="O47" s="157">
        <v>162</v>
      </c>
      <c r="P47" s="157">
        <v>162</v>
      </c>
      <c r="Q47" s="157">
        <v>162</v>
      </c>
      <c r="R47" s="157">
        <v>162</v>
      </c>
      <c r="S47" s="157">
        <v>162</v>
      </c>
      <c r="T47" s="157">
        <v>162</v>
      </c>
      <c r="U47" s="157">
        <v>162</v>
      </c>
      <c r="V47" s="157">
        <v>162</v>
      </c>
      <c r="W47" s="157">
        <v>162</v>
      </c>
      <c r="X47" s="157">
        <v>162</v>
      </c>
      <c r="Y47" s="157">
        <v>162</v>
      </c>
      <c r="Z47" s="157">
        <v>162</v>
      </c>
      <c r="AA47" s="157">
        <v>162</v>
      </c>
      <c r="AB47" s="157">
        <v>162</v>
      </c>
      <c r="AC47" s="157">
        <v>0</v>
      </c>
      <c r="AD47" s="157">
        <v>162</v>
      </c>
      <c r="AE47" s="157">
        <v>162</v>
      </c>
      <c r="AF47" s="157">
        <v>0</v>
      </c>
      <c r="AG47" s="157">
        <v>162</v>
      </c>
      <c r="AH47" s="157">
        <v>0</v>
      </c>
      <c r="AI47" s="157">
        <v>162</v>
      </c>
      <c r="AJ47" s="157">
        <v>162</v>
      </c>
      <c r="AK47" s="157">
        <v>162</v>
      </c>
      <c r="AL47" s="157">
        <v>162</v>
      </c>
      <c r="AM47" s="157">
        <v>162</v>
      </c>
      <c r="AN47" s="157">
        <v>162</v>
      </c>
      <c r="AO47" s="157">
        <v>162</v>
      </c>
      <c r="AP47" s="157">
        <v>162</v>
      </c>
      <c r="AQ47" s="157">
        <v>162</v>
      </c>
      <c r="AR47" s="157">
        <f t="shared" si="2"/>
        <v>5832</v>
      </c>
      <c r="AS47" s="185" t="s">
        <v>614</v>
      </c>
    </row>
    <row r="48" spans="1:45">
      <c r="A48" s="160">
        <f t="shared" si="5"/>
        <v>45790</v>
      </c>
      <c r="B48" s="157">
        <f>YEAR(Table7[[#This Row],[Date]])+IF(MONTH(Table7[[#This Row],[Date]])&gt;=4,1,0)</f>
        <v>2026</v>
      </c>
      <c r="C48" s="157">
        <f>YEAR(Table7[[#This Row],[Date]])</f>
        <v>2025</v>
      </c>
      <c r="D48" s="159">
        <f t="shared" si="4"/>
        <v>45778</v>
      </c>
      <c r="E48" s="157">
        <v>227</v>
      </c>
      <c r="F48" s="157">
        <v>227</v>
      </c>
      <c r="G48" s="157">
        <v>227</v>
      </c>
      <c r="H48" s="157">
        <v>227</v>
      </c>
      <c r="I48" s="157">
        <v>227</v>
      </c>
      <c r="J48" s="157">
        <v>227</v>
      </c>
      <c r="K48" s="157">
        <v>227</v>
      </c>
      <c r="L48" s="157">
        <v>227</v>
      </c>
      <c r="M48" s="157">
        <v>227</v>
      </c>
      <c r="N48" s="157">
        <v>227</v>
      </c>
      <c r="O48" s="157">
        <v>227</v>
      </c>
      <c r="P48" s="157">
        <v>227</v>
      </c>
      <c r="Q48" s="157">
        <v>227</v>
      </c>
      <c r="R48" s="157">
        <v>227</v>
      </c>
      <c r="S48" s="157">
        <v>227</v>
      </c>
      <c r="T48" s="157">
        <v>227</v>
      </c>
      <c r="U48" s="157">
        <v>227</v>
      </c>
      <c r="V48" s="157">
        <v>227</v>
      </c>
      <c r="W48" s="157">
        <v>227</v>
      </c>
      <c r="X48" s="157">
        <v>227</v>
      </c>
      <c r="Y48" s="157">
        <v>227</v>
      </c>
      <c r="Z48" s="157">
        <v>227</v>
      </c>
      <c r="AA48" s="157">
        <v>227</v>
      </c>
      <c r="AB48" s="157">
        <v>227</v>
      </c>
      <c r="AC48" s="157">
        <v>227</v>
      </c>
      <c r="AD48" s="157">
        <v>227</v>
      </c>
      <c r="AE48" s="157">
        <v>227</v>
      </c>
      <c r="AF48" s="157">
        <v>0</v>
      </c>
      <c r="AG48" s="157">
        <v>227</v>
      </c>
      <c r="AH48" s="157">
        <v>0</v>
      </c>
      <c r="AI48" s="157">
        <v>227</v>
      </c>
      <c r="AJ48" s="157">
        <v>227</v>
      </c>
      <c r="AK48" s="157">
        <v>227</v>
      </c>
      <c r="AL48" s="157">
        <v>227</v>
      </c>
      <c r="AM48" s="157">
        <v>227</v>
      </c>
      <c r="AN48" s="157">
        <v>227</v>
      </c>
      <c r="AO48" s="157">
        <v>227</v>
      </c>
      <c r="AP48" s="157">
        <v>227</v>
      </c>
      <c r="AQ48" s="157">
        <v>227</v>
      </c>
      <c r="AR48" s="157">
        <f t="shared" si="2"/>
        <v>8399</v>
      </c>
      <c r="AS48" s="185" t="s">
        <v>614</v>
      </c>
    </row>
    <row r="49" spans="1:45">
      <c r="A49" s="160">
        <f t="shared" si="5"/>
        <v>45791</v>
      </c>
      <c r="B49" s="157">
        <f>YEAR(Table7[[#This Row],[Date]])+IF(MONTH(Table7[[#This Row],[Date]])&gt;=4,1,0)</f>
        <v>2026</v>
      </c>
      <c r="C49" s="157">
        <f>YEAR(Table7[[#This Row],[Date]])</f>
        <v>2025</v>
      </c>
      <c r="D49" s="159">
        <f t="shared" si="4"/>
        <v>45778</v>
      </c>
      <c r="E49" s="157">
        <v>324</v>
      </c>
      <c r="F49" s="157">
        <v>324</v>
      </c>
      <c r="G49" s="157">
        <v>324</v>
      </c>
      <c r="H49" s="157">
        <v>324</v>
      </c>
      <c r="I49" s="157">
        <v>324</v>
      </c>
      <c r="J49" s="157">
        <v>324</v>
      </c>
      <c r="K49" s="157">
        <v>324</v>
      </c>
      <c r="L49" s="157">
        <v>324</v>
      </c>
      <c r="M49" s="157">
        <v>324</v>
      </c>
      <c r="N49" s="157">
        <v>324</v>
      </c>
      <c r="O49" s="157">
        <v>324</v>
      </c>
      <c r="P49" s="157">
        <v>324</v>
      </c>
      <c r="Q49" s="157">
        <v>324</v>
      </c>
      <c r="R49" s="157">
        <v>324</v>
      </c>
      <c r="S49" s="157">
        <v>324</v>
      </c>
      <c r="T49" s="157">
        <v>324</v>
      </c>
      <c r="U49" s="157">
        <v>324</v>
      </c>
      <c r="V49" s="157">
        <v>324</v>
      </c>
      <c r="W49" s="157">
        <v>324</v>
      </c>
      <c r="X49" s="157">
        <v>324</v>
      </c>
      <c r="Y49" s="157">
        <v>324</v>
      </c>
      <c r="Z49" s="157">
        <v>324</v>
      </c>
      <c r="AA49" s="157">
        <v>324</v>
      </c>
      <c r="AB49" s="157">
        <v>324</v>
      </c>
      <c r="AC49" s="157">
        <v>324</v>
      </c>
      <c r="AD49" s="157">
        <v>324</v>
      </c>
      <c r="AE49" s="157">
        <v>324</v>
      </c>
      <c r="AF49" s="157">
        <v>0</v>
      </c>
      <c r="AG49" s="157">
        <v>324</v>
      </c>
      <c r="AH49" s="157">
        <v>0</v>
      </c>
      <c r="AI49" s="157">
        <v>324</v>
      </c>
      <c r="AJ49" s="157">
        <v>324</v>
      </c>
      <c r="AK49" s="157">
        <v>324</v>
      </c>
      <c r="AL49" s="157">
        <v>324</v>
      </c>
      <c r="AM49" s="157">
        <v>324</v>
      </c>
      <c r="AN49" s="157">
        <v>324</v>
      </c>
      <c r="AO49" s="157">
        <v>324</v>
      </c>
      <c r="AP49" s="157">
        <v>324</v>
      </c>
      <c r="AQ49" s="157">
        <v>0</v>
      </c>
      <c r="AR49" s="157">
        <f t="shared" si="2"/>
        <v>11664</v>
      </c>
      <c r="AS49" s="185" t="s">
        <v>614</v>
      </c>
    </row>
    <row r="50" spans="1:45">
      <c r="A50" s="160">
        <f t="shared" si="5"/>
        <v>45792</v>
      </c>
      <c r="B50" s="157">
        <f>YEAR(Table7[[#This Row],[Date]])+IF(MONTH(Table7[[#This Row],[Date]])&gt;=4,1,0)</f>
        <v>2026</v>
      </c>
      <c r="C50" s="157">
        <f>YEAR(Table7[[#This Row],[Date]])</f>
        <v>2025</v>
      </c>
      <c r="D50" s="159">
        <f t="shared" si="4"/>
        <v>45778</v>
      </c>
      <c r="E50" s="157">
        <v>162</v>
      </c>
      <c r="F50" s="157">
        <v>162</v>
      </c>
      <c r="G50" s="157">
        <v>162</v>
      </c>
      <c r="H50" s="157">
        <v>162</v>
      </c>
      <c r="I50" s="157">
        <v>162</v>
      </c>
      <c r="J50" s="157">
        <v>162</v>
      </c>
      <c r="K50" s="157">
        <v>162</v>
      </c>
      <c r="L50" s="157">
        <v>162</v>
      </c>
      <c r="M50" s="157">
        <v>162</v>
      </c>
      <c r="N50" s="157">
        <v>162</v>
      </c>
      <c r="O50" s="157">
        <v>162</v>
      </c>
      <c r="P50" s="157">
        <v>162</v>
      </c>
      <c r="Q50" s="157">
        <v>162</v>
      </c>
      <c r="R50" s="157">
        <v>162</v>
      </c>
      <c r="S50" s="157">
        <v>162</v>
      </c>
      <c r="T50" s="157">
        <v>162</v>
      </c>
      <c r="U50" s="157">
        <v>162</v>
      </c>
      <c r="V50" s="157">
        <v>162</v>
      </c>
      <c r="W50" s="157">
        <v>162</v>
      </c>
      <c r="X50" s="157">
        <v>162</v>
      </c>
      <c r="Y50" s="157">
        <v>162</v>
      </c>
      <c r="Z50" s="157">
        <v>162</v>
      </c>
      <c r="AA50" s="157">
        <v>162</v>
      </c>
      <c r="AB50" s="157">
        <v>162</v>
      </c>
      <c r="AC50" s="157">
        <v>162</v>
      </c>
      <c r="AD50" s="157">
        <v>162</v>
      </c>
      <c r="AE50" s="157">
        <v>162</v>
      </c>
      <c r="AF50" s="157">
        <v>0</v>
      </c>
      <c r="AG50" s="157">
        <v>162</v>
      </c>
      <c r="AH50" s="157">
        <v>0</v>
      </c>
      <c r="AI50" s="157">
        <v>162</v>
      </c>
      <c r="AJ50" s="157">
        <v>162</v>
      </c>
      <c r="AK50" s="157">
        <v>162</v>
      </c>
      <c r="AL50" s="157">
        <v>162</v>
      </c>
      <c r="AM50" s="157">
        <v>162</v>
      </c>
      <c r="AN50" s="157">
        <v>162</v>
      </c>
      <c r="AO50" s="157">
        <v>162</v>
      </c>
      <c r="AP50" s="157">
        <v>162</v>
      </c>
      <c r="AQ50" s="157">
        <v>162</v>
      </c>
      <c r="AR50" s="157">
        <f t="shared" si="2"/>
        <v>5994</v>
      </c>
      <c r="AS50" s="185" t="s">
        <v>614</v>
      </c>
    </row>
    <row r="51" spans="1:45">
      <c r="A51" s="160">
        <f t="shared" si="5"/>
        <v>45793</v>
      </c>
      <c r="B51" s="157">
        <f>YEAR(Table7[[#This Row],[Date]])+IF(MONTH(Table7[[#This Row],[Date]])&gt;=4,1,0)</f>
        <v>2026</v>
      </c>
      <c r="C51" s="157">
        <f>YEAR(Table7[[#This Row],[Date]])</f>
        <v>2025</v>
      </c>
      <c r="D51" s="159">
        <f t="shared" si="4"/>
        <v>45778</v>
      </c>
      <c r="E51" s="157">
        <v>130</v>
      </c>
      <c r="F51" s="157">
        <v>130</v>
      </c>
      <c r="G51" s="157">
        <v>130</v>
      </c>
      <c r="H51" s="157">
        <v>130</v>
      </c>
      <c r="I51" s="157">
        <v>130</v>
      </c>
      <c r="J51" s="157">
        <v>130</v>
      </c>
      <c r="K51" s="157">
        <v>130</v>
      </c>
      <c r="L51" s="157">
        <v>130</v>
      </c>
      <c r="M51" s="157">
        <v>130</v>
      </c>
      <c r="N51" s="157">
        <v>130</v>
      </c>
      <c r="O51" s="157">
        <v>130</v>
      </c>
      <c r="P51" s="157">
        <v>130</v>
      </c>
      <c r="Q51" s="157">
        <v>130</v>
      </c>
      <c r="R51" s="157">
        <v>130</v>
      </c>
      <c r="S51" s="157">
        <v>130</v>
      </c>
      <c r="T51" s="157">
        <v>130</v>
      </c>
      <c r="U51" s="157">
        <v>130</v>
      </c>
      <c r="V51" s="157">
        <v>130</v>
      </c>
      <c r="W51" s="157">
        <v>130</v>
      </c>
      <c r="X51" s="157">
        <v>130</v>
      </c>
      <c r="Y51" s="157">
        <v>130</v>
      </c>
      <c r="Z51" s="157">
        <v>130</v>
      </c>
      <c r="AA51" s="157">
        <v>130</v>
      </c>
      <c r="AB51" s="157">
        <v>130</v>
      </c>
      <c r="AC51" s="157">
        <v>130</v>
      </c>
      <c r="AD51" s="157">
        <v>130</v>
      </c>
      <c r="AE51" s="157">
        <v>130</v>
      </c>
      <c r="AF51" s="157">
        <v>0</v>
      </c>
      <c r="AG51" s="157">
        <v>130</v>
      </c>
      <c r="AH51" s="157">
        <v>0</v>
      </c>
      <c r="AI51" s="157">
        <v>130</v>
      </c>
      <c r="AJ51" s="157">
        <v>130</v>
      </c>
      <c r="AK51" s="157">
        <v>130</v>
      </c>
      <c r="AL51" s="157">
        <v>130</v>
      </c>
      <c r="AM51" s="157">
        <v>130</v>
      </c>
      <c r="AN51" s="157">
        <v>130</v>
      </c>
      <c r="AO51" s="157">
        <v>130</v>
      </c>
      <c r="AP51" s="157">
        <v>130</v>
      </c>
      <c r="AQ51" s="157">
        <v>130</v>
      </c>
      <c r="AR51" s="157">
        <f t="shared" si="2"/>
        <v>4810</v>
      </c>
      <c r="AS51" s="185" t="s">
        <v>614</v>
      </c>
    </row>
    <row r="52" spans="1:45">
      <c r="A52" s="160">
        <f t="shared" si="5"/>
        <v>45794</v>
      </c>
      <c r="B52" s="157">
        <f>YEAR(Table7[[#This Row],[Date]])+IF(MONTH(Table7[[#This Row],[Date]])&gt;=4,1,0)</f>
        <v>2026</v>
      </c>
      <c r="C52" s="157">
        <f>YEAR(Table7[[#This Row],[Date]])</f>
        <v>2025</v>
      </c>
      <c r="D52" s="159">
        <f t="shared" si="4"/>
        <v>45778</v>
      </c>
      <c r="E52" s="157">
        <v>98</v>
      </c>
      <c r="F52" s="157">
        <v>98</v>
      </c>
      <c r="G52" s="157">
        <v>98</v>
      </c>
      <c r="H52" s="157">
        <v>98</v>
      </c>
      <c r="I52" s="157">
        <v>98</v>
      </c>
      <c r="J52" s="157">
        <v>98</v>
      </c>
      <c r="K52" s="157">
        <v>98</v>
      </c>
      <c r="L52" s="157">
        <v>98</v>
      </c>
      <c r="M52" s="157">
        <v>98</v>
      </c>
      <c r="N52" s="157">
        <v>98</v>
      </c>
      <c r="O52" s="157">
        <v>98</v>
      </c>
      <c r="P52" s="157">
        <v>98</v>
      </c>
      <c r="Q52" s="157">
        <v>98</v>
      </c>
      <c r="R52" s="157">
        <v>98</v>
      </c>
      <c r="S52" s="157">
        <v>98</v>
      </c>
      <c r="T52" s="157">
        <v>98</v>
      </c>
      <c r="U52" s="157">
        <v>98</v>
      </c>
      <c r="V52" s="157">
        <v>98</v>
      </c>
      <c r="W52" s="157">
        <v>98</v>
      </c>
      <c r="X52" s="157">
        <v>98</v>
      </c>
      <c r="Y52" s="157">
        <v>98</v>
      </c>
      <c r="Z52" s="157">
        <v>98</v>
      </c>
      <c r="AA52" s="157">
        <v>98</v>
      </c>
      <c r="AB52" s="157">
        <v>98</v>
      </c>
      <c r="AC52" s="157">
        <v>98</v>
      </c>
      <c r="AD52" s="157">
        <v>98</v>
      </c>
      <c r="AE52" s="157">
        <v>98</v>
      </c>
      <c r="AF52" s="157">
        <v>0</v>
      </c>
      <c r="AG52" s="157">
        <v>98</v>
      </c>
      <c r="AH52" s="157">
        <v>0</v>
      </c>
      <c r="AI52" s="157">
        <v>98</v>
      </c>
      <c r="AJ52" s="157">
        <v>98</v>
      </c>
      <c r="AK52" s="157">
        <v>98</v>
      </c>
      <c r="AL52" s="157">
        <v>98</v>
      </c>
      <c r="AM52" s="157">
        <v>98</v>
      </c>
      <c r="AN52" s="157">
        <v>98</v>
      </c>
      <c r="AO52" s="157">
        <v>98</v>
      </c>
      <c r="AP52" s="157">
        <v>98</v>
      </c>
      <c r="AQ52" s="157">
        <v>98</v>
      </c>
      <c r="AR52" s="157">
        <f t="shared" si="2"/>
        <v>3626</v>
      </c>
      <c r="AS52" s="185" t="s">
        <v>614</v>
      </c>
    </row>
    <row r="53" spans="1:45">
      <c r="A53" s="160">
        <f t="shared" si="5"/>
        <v>45795</v>
      </c>
      <c r="B53" s="157">
        <f>YEAR(Table7[[#This Row],[Date]])+IF(MONTH(Table7[[#This Row],[Date]])&gt;=4,1,0)</f>
        <v>2026</v>
      </c>
      <c r="C53" s="157">
        <f>YEAR(Table7[[#This Row],[Date]])</f>
        <v>2025</v>
      </c>
      <c r="D53" s="159">
        <f t="shared" si="4"/>
        <v>45778</v>
      </c>
      <c r="E53" s="157">
        <v>227</v>
      </c>
      <c r="F53" s="157">
        <v>227</v>
      </c>
      <c r="G53" s="157">
        <v>227</v>
      </c>
      <c r="H53" s="157">
        <v>227</v>
      </c>
      <c r="I53" s="157">
        <v>227</v>
      </c>
      <c r="J53" s="157">
        <v>227</v>
      </c>
      <c r="K53" s="157">
        <v>227</v>
      </c>
      <c r="L53" s="157">
        <v>227</v>
      </c>
      <c r="M53" s="157">
        <v>227</v>
      </c>
      <c r="N53" s="157">
        <v>227</v>
      </c>
      <c r="O53" s="157">
        <v>227</v>
      </c>
      <c r="P53" s="157">
        <v>227</v>
      </c>
      <c r="Q53" s="157">
        <v>227</v>
      </c>
      <c r="R53" s="157">
        <v>227</v>
      </c>
      <c r="S53" s="157">
        <v>227</v>
      </c>
      <c r="T53" s="157">
        <v>227</v>
      </c>
      <c r="U53" s="157">
        <v>227</v>
      </c>
      <c r="V53" s="157">
        <v>227</v>
      </c>
      <c r="W53" s="157">
        <v>227</v>
      </c>
      <c r="X53" s="157">
        <v>227</v>
      </c>
      <c r="Y53" s="157">
        <v>227</v>
      </c>
      <c r="Z53" s="157">
        <v>227</v>
      </c>
      <c r="AA53" s="157">
        <v>227</v>
      </c>
      <c r="AB53" s="157">
        <v>227</v>
      </c>
      <c r="AC53" s="157">
        <v>227</v>
      </c>
      <c r="AD53" s="157">
        <v>227</v>
      </c>
      <c r="AE53" s="157">
        <v>227</v>
      </c>
      <c r="AF53" s="157">
        <v>0</v>
      </c>
      <c r="AG53" s="157">
        <v>227</v>
      </c>
      <c r="AH53" s="157">
        <v>0</v>
      </c>
      <c r="AI53" s="157">
        <v>227</v>
      </c>
      <c r="AJ53" s="157">
        <v>227</v>
      </c>
      <c r="AK53" s="157">
        <v>227</v>
      </c>
      <c r="AL53" s="157">
        <v>227</v>
      </c>
      <c r="AM53" s="157">
        <v>227</v>
      </c>
      <c r="AN53" s="157">
        <v>227</v>
      </c>
      <c r="AO53" s="157">
        <v>227</v>
      </c>
      <c r="AP53" s="157">
        <v>227</v>
      </c>
      <c r="AQ53" s="157">
        <v>227</v>
      </c>
      <c r="AR53" s="157">
        <f t="shared" si="2"/>
        <v>8399</v>
      </c>
      <c r="AS53" s="185" t="s">
        <v>614</v>
      </c>
    </row>
    <row r="54" spans="1:45">
      <c r="A54" s="160">
        <f t="shared" si="5"/>
        <v>45796</v>
      </c>
      <c r="B54" s="157">
        <f>YEAR(Table7[[#This Row],[Date]])+IF(MONTH(Table7[[#This Row],[Date]])&gt;=4,1,0)</f>
        <v>2026</v>
      </c>
      <c r="C54" s="157">
        <f>YEAR(Table7[[#This Row],[Date]])</f>
        <v>2025</v>
      </c>
      <c r="D54" s="159">
        <f t="shared" si="4"/>
        <v>45778</v>
      </c>
      <c r="E54" s="157">
        <v>519</v>
      </c>
      <c r="F54" s="157">
        <v>519</v>
      </c>
      <c r="G54" s="157">
        <v>519</v>
      </c>
      <c r="H54" s="157">
        <v>519</v>
      </c>
      <c r="I54" s="157">
        <v>519</v>
      </c>
      <c r="J54" s="157">
        <v>519</v>
      </c>
      <c r="K54" s="157">
        <v>519</v>
      </c>
      <c r="L54" s="157">
        <v>519</v>
      </c>
      <c r="M54" s="157">
        <v>519</v>
      </c>
      <c r="N54" s="157">
        <v>519</v>
      </c>
      <c r="O54" s="157">
        <v>519</v>
      </c>
      <c r="P54" s="157">
        <v>519</v>
      </c>
      <c r="Q54" s="157">
        <v>519</v>
      </c>
      <c r="R54" s="157">
        <v>519</v>
      </c>
      <c r="S54" s="157">
        <v>519</v>
      </c>
      <c r="T54" s="157">
        <v>519</v>
      </c>
      <c r="U54" s="157">
        <v>519</v>
      </c>
      <c r="V54" s="157">
        <v>519</v>
      </c>
      <c r="W54" s="157">
        <v>519</v>
      </c>
      <c r="X54" s="157">
        <v>519</v>
      </c>
      <c r="Y54" s="157">
        <v>519</v>
      </c>
      <c r="Z54" s="157">
        <v>519</v>
      </c>
      <c r="AA54" s="157">
        <v>519</v>
      </c>
      <c r="AB54" s="157">
        <v>519</v>
      </c>
      <c r="AC54" s="157">
        <v>519</v>
      </c>
      <c r="AD54" s="157">
        <v>519</v>
      </c>
      <c r="AE54" s="157">
        <v>519</v>
      </c>
      <c r="AF54" s="157">
        <v>0</v>
      </c>
      <c r="AG54" s="157">
        <v>519</v>
      </c>
      <c r="AH54" s="157">
        <v>0</v>
      </c>
      <c r="AI54" s="157">
        <v>519</v>
      </c>
      <c r="AJ54" s="157">
        <v>519</v>
      </c>
      <c r="AK54" s="157">
        <v>519</v>
      </c>
      <c r="AL54" s="157">
        <v>519</v>
      </c>
      <c r="AM54" s="157">
        <v>519</v>
      </c>
      <c r="AN54" s="157">
        <v>519</v>
      </c>
      <c r="AO54" s="157">
        <v>519</v>
      </c>
      <c r="AP54" s="157">
        <v>519</v>
      </c>
      <c r="AQ54" s="157">
        <v>519</v>
      </c>
      <c r="AR54" s="157">
        <f t="shared" si="2"/>
        <v>19203</v>
      </c>
      <c r="AS54" s="185" t="s">
        <v>614</v>
      </c>
    </row>
    <row r="55" spans="1:45">
      <c r="A55" s="160">
        <f t="shared" si="5"/>
        <v>45797</v>
      </c>
      <c r="B55" s="157">
        <f>YEAR(Table7[[#This Row],[Date]])+IF(MONTH(Table7[[#This Row],[Date]])&gt;=4,1,0)</f>
        <v>2026</v>
      </c>
      <c r="C55" s="157">
        <f>YEAR(Table7[[#This Row],[Date]])</f>
        <v>2025</v>
      </c>
      <c r="D55" s="159">
        <f t="shared" si="4"/>
        <v>45778</v>
      </c>
      <c r="E55" s="157">
        <v>195</v>
      </c>
      <c r="F55" s="157">
        <v>195</v>
      </c>
      <c r="G55" s="157">
        <v>195</v>
      </c>
      <c r="H55" s="157">
        <v>195</v>
      </c>
      <c r="I55" s="157">
        <v>195</v>
      </c>
      <c r="J55" s="157">
        <v>195</v>
      </c>
      <c r="K55" s="157">
        <v>195</v>
      </c>
      <c r="L55" s="157">
        <v>195</v>
      </c>
      <c r="M55" s="157">
        <v>195</v>
      </c>
      <c r="N55" s="157">
        <v>195</v>
      </c>
      <c r="O55" s="157">
        <v>195</v>
      </c>
      <c r="P55" s="157">
        <v>195</v>
      </c>
      <c r="Q55" s="157">
        <v>195</v>
      </c>
      <c r="R55" s="157">
        <v>195</v>
      </c>
      <c r="S55" s="157">
        <v>195</v>
      </c>
      <c r="T55" s="157">
        <v>195</v>
      </c>
      <c r="U55" s="157">
        <v>195</v>
      </c>
      <c r="V55" s="157">
        <v>195</v>
      </c>
      <c r="W55" s="157">
        <v>195</v>
      </c>
      <c r="X55" s="157">
        <v>195</v>
      </c>
      <c r="Y55" s="157">
        <v>195</v>
      </c>
      <c r="Z55" s="157">
        <v>195</v>
      </c>
      <c r="AA55" s="157">
        <v>195</v>
      </c>
      <c r="AB55" s="157">
        <v>195</v>
      </c>
      <c r="AC55" s="157">
        <v>195</v>
      </c>
      <c r="AD55" s="157">
        <v>195</v>
      </c>
      <c r="AE55" s="157">
        <v>195</v>
      </c>
      <c r="AF55" s="157">
        <v>0</v>
      </c>
      <c r="AG55" s="157">
        <v>195</v>
      </c>
      <c r="AH55" s="157">
        <v>0</v>
      </c>
      <c r="AI55" s="157">
        <v>195</v>
      </c>
      <c r="AJ55" s="157">
        <v>195</v>
      </c>
      <c r="AK55" s="157">
        <v>195</v>
      </c>
      <c r="AL55" s="157">
        <v>195</v>
      </c>
      <c r="AM55" s="157">
        <v>195</v>
      </c>
      <c r="AN55" s="157">
        <v>195</v>
      </c>
      <c r="AO55" s="157">
        <v>195</v>
      </c>
      <c r="AP55" s="157">
        <v>195</v>
      </c>
      <c r="AQ55" s="157">
        <v>195</v>
      </c>
      <c r="AR55" s="157">
        <f t="shared" si="2"/>
        <v>7215</v>
      </c>
      <c r="AS55" s="185" t="s">
        <v>614</v>
      </c>
    </row>
    <row r="56" spans="1:45">
      <c r="A56" s="160">
        <f t="shared" si="5"/>
        <v>45798</v>
      </c>
      <c r="B56" s="157">
        <f>YEAR(Table7[[#This Row],[Date]])+IF(MONTH(Table7[[#This Row],[Date]])&gt;=4,1,0)</f>
        <v>2026</v>
      </c>
      <c r="C56" s="157">
        <f>YEAR(Table7[[#This Row],[Date]])</f>
        <v>2025</v>
      </c>
      <c r="D56" s="159">
        <f t="shared" si="4"/>
        <v>45778</v>
      </c>
      <c r="E56" s="157">
        <v>130</v>
      </c>
      <c r="F56" s="157">
        <v>130</v>
      </c>
      <c r="G56" s="157">
        <v>130</v>
      </c>
      <c r="H56" s="157">
        <v>130</v>
      </c>
      <c r="I56" s="157">
        <v>130</v>
      </c>
      <c r="J56" s="157">
        <v>130</v>
      </c>
      <c r="K56" s="157">
        <v>130</v>
      </c>
      <c r="L56" s="157">
        <v>130</v>
      </c>
      <c r="M56" s="157">
        <v>130</v>
      </c>
      <c r="N56" s="157">
        <v>130</v>
      </c>
      <c r="O56" s="157">
        <v>130</v>
      </c>
      <c r="P56" s="157">
        <v>130</v>
      </c>
      <c r="Q56" s="157">
        <v>130</v>
      </c>
      <c r="R56" s="157">
        <v>130</v>
      </c>
      <c r="S56" s="157">
        <v>130</v>
      </c>
      <c r="T56" s="157">
        <v>130</v>
      </c>
      <c r="U56" s="157">
        <v>130</v>
      </c>
      <c r="V56" s="157">
        <v>130</v>
      </c>
      <c r="W56" s="157">
        <v>130</v>
      </c>
      <c r="X56" s="157">
        <v>130</v>
      </c>
      <c r="Y56" s="157">
        <v>130</v>
      </c>
      <c r="Z56" s="157">
        <v>130</v>
      </c>
      <c r="AA56" s="157">
        <v>130</v>
      </c>
      <c r="AB56" s="157">
        <v>130</v>
      </c>
      <c r="AC56" s="157">
        <v>130</v>
      </c>
      <c r="AD56" s="157">
        <v>130</v>
      </c>
      <c r="AE56" s="157">
        <v>130</v>
      </c>
      <c r="AF56" s="157">
        <v>0</v>
      </c>
      <c r="AG56" s="157">
        <v>130</v>
      </c>
      <c r="AH56" s="157">
        <v>0</v>
      </c>
      <c r="AI56" s="157">
        <v>130</v>
      </c>
      <c r="AJ56" s="157">
        <v>130</v>
      </c>
      <c r="AK56" s="157">
        <v>130</v>
      </c>
      <c r="AL56" s="157">
        <v>130</v>
      </c>
      <c r="AM56" s="157">
        <v>130</v>
      </c>
      <c r="AN56" s="157">
        <v>130</v>
      </c>
      <c r="AO56" s="157">
        <v>130</v>
      </c>
      <c r="AP56" s="157">
        <v>130</v>
      </c>
      <c r="AQ56" s="157">
        <v>130</v>
      </c>
      <c r="AR56" s="157">
        <f t="shared" si="2"/>
        <v>4810</v>
      </c>
      <c r="AS56" s="185" t="s">
        <v>614</v>
      </c>
    </row>
    <row r="57" spans="1:45">
      <c r="A57" s="160">
        <f t="shared" si="5"/>
        <v>45799</v>
      </c>
      <c r="B57" s="157">
        <f>YEAR(Table7[[#This Row],[Date]])+IF(MONTH(Table7[[#This Row],[Date]])&gt;=4,1,0)</f>
        <v>2026</v>
      </c>
      <c r="C57" s="157">
        <f>YEAR(Table7[[#This Row],[Date]])</f>
        <v>2025</v>
      </c>
      <c r="D57" s="159">
        <f t="shared" si="4"/>
        <v>45778</v>
      </c>
      <c r="E57" s="157">
        <v>552</v>
      </c>
      <c r="F57" s="157">
        <v>552</v>
      </c>
      <c r="G57" s="157">
        <v>552</v>
      </c>
      <c r="H57" s="157">
        <v>552</v>
      </c>
      <c r="I57" s="157">
        <v>552</v>
      </c>
      <c r="J57" s="157">
        <v>552</v>
      </c>
      <c r="K57" s="157">
        <v>552</v>
      </c>
      <c r="L57" s="157">
        <v>552</v>
      </c>
      <c r="M57" s="157">
        <v>552</v>
      </c>
      <c r="N57" s="157">
        <v>552</v>
      </c>
      <c r="O57" s="157">
        <v>552</v>
      </c>
      <c r="P57" s="157">
        <v>552</v>
      </c>
      <c r="Q57" s="157">
        <v>552</v>
      </c>
      <c r="R57" s="157">
        <v>552</v>
      </c>
      <c r="S57" s="157">
        <v>552</v>
      </c>
      <c r="T57" s="157">
        <v>552</v>
      </c>
      <c r="U57" s="157">
        <v>552</v>
      </c>
      <c r="V57" s="157">
        <v>552</v>
      </c>
      <c r="W57" s="157">
        <v>552</v>
      </c>
      <c r="X57" s="157">
        <v>552</v>
      </c>
      <c r="Y57" s="157">
        <v>552</v>
      </c>
      <c r="Z57" s="157">
        <v>552</v>
      </c>
      <c r="AA57" s="157">
        <v>552</v>
      </c>
      <c r="AB57" s="157">
        <v>552</v>
      </c>
      <c r="AC57" s="157">
        <v>552</v>
      </c>
      <c r="AD57" s="157">
        <v>552</v>
      </c>
      <c r="AE57" s="157">
        <v>552</v>
      </c>
      <c r="AF57" s="157">
        <v>0</v>
      </c>
      <c r="AG57" s="157">
        <v>552</v>
      </c>
      <c r="AH57" s="157">
        <v>0</v>
      </c>
      <c r="AI57" s="157">
        <v>552</v>
      </c>
      <c r="AJ57" s="157">
        <v>552</v>
      </c>
      <c r="AK57" s="157">
        <v>552</v>
      </c>
      <c r="AL57" s="157">
        <v>552</v>
      </c>
      <c r="AM57" s="157">
        <v>552</v>
      </c>
      <c r="AN57" s="157">
        <v>552</v>
      </c>
      <c r="AO57" s="157">
        <v>552</v>
      </c>
      <c r="AP57" s="157">
        <v>552</v>
      </c>
      <c r="AQ57" s="157">
        <v>552</v>
      </c>
      <c r="AR57" s="157">
        <f t="shared" si="2"/>
        <v>20424</v>
      </c>
      <c r="AS57" s="185" t="s">
        <v>614</v>
      </c>
    </row>
    <row r="58" spans="1:45">
      <c r="A58" s="160">
        <f t="shared" si="5"/>
        <v>45800</v>
      </c>
      <c r="B58" s="157">
        <f>YEAR(Table7[[#This Row],[Date]])+IF(MONTH(Table7[[#This Row],[Date]])&gt;=4,1,0)</f>
        <v>2026</v>
      </c>
      <c r="C58" s="157">
        <f>YEAR(Table7[[#This Row],[Date]])</f>
        <v>2025</v>
      </c>
      <c r="D58" s="159">
        <f t="shared" si="4"/>
        <v>45778</v>
      </c>
      <c r="E58" s="157">
        <v>487</v>
      </c>
      <c r="F58" s="157">
        <v>487</v>
      </c>
      <c r="G58" s="157">
        <v>487</v>
      </c>
      <c r="H58" s="157">
        <v>487</v>
      </c>
      <c r="I58" s="157">
        <v>487</v>
      </c>
      <c r="J58" s="157">
        <v>487</v>
      </c>
      <c r="K58" s="157">
        <v>487</v>
      </c>
      <c r="L58" s="157">
        <v>487</v>
      </c>
      <c r="M58" s="157">
        <v>487</v>
      </c>
      <c r="N58" s="157">
        <v>487</v>
      </c>
      <c r="O58" s="157">
        <v>487</v>
      </c>
      <c r="P58" s="157">
        <v>487</v>
      </c>
      <c r="Q58" s="157">
        <v>487</v>
      </c>
      <c r="R58" s="157">
        <v>487</v>
      </c>
      <c r="S58" s="157">
        <v>487</v>
      </c>
      <c r="T58" s="157">
        <v>487</v>
      </c>
      <c r="U58" s="157">
        <v>487</v>
      </c>
      <c r="V58" s="157">
        <v>487</v>
      </c>
      <c r="W58" s="157">
        <v>487</v>
      </c>
      <c r="X58" s="157">
        <v>487</v>
      </c>
      <c r="Y58" s="157">
        <v>487</v>
      </c>
      <c r="Z58" s="157">
        <v>487</v>
      </c>
      <c r="AA58" s="157">
        <v>487</v>
      </c>
      <c r="AB58" s="157">
        <v>487</v>
      </c>
      <c r="AC58" s="157">
        <v>487</v>
      </c>
      <c r="AD58" s="157">
        <v>487</v>
      </c>
      <c r="AE58" s="157">
        <v>487</v>
      </c>
      <c r="AF58" s="157">
        <v>0</v>
      </c>
      <c r="AG58" s="157">
        <v>487</v>
      </c>
      <c r="AH58" s="157">
        <v>0</v>
      </c>
      <c r="AI58" s="157">
        <v>487</v>
      </c>
      <c r="AJ58" s="157">
        <v>487</v>
      </c>
      <c r="AK58" s="157">
        <v>487</v>
      </c>
      <c r="AL58" s="157">
        <v>487</v>
      </c>
      <c r="AM58" s="157">
        <v>487</v>
      </c>
      <c r="AN58" s="157">
        <v>487</v>
      </c>
      <c r="AO58" s="157">
        <v>487</v>
      </c>
      <c r="AP58" s="157">
        <v>487</v>
      </c>
      <c r="AQ58" s="157">
        <v>487</v>
      </c>
      <c r="AR58" s="157">
        <f t="shared" si="2"/>
        <v>18019</v>
      </c>
      <c r="AS58" s="185" t="s">
        <v>614</v>
      </c>
    </row>
    <row r="59" spans="1:45">
      <c r="A59" s="160">
        <f t="shared" si="5"/>
        <v>45801</v>
      </c>
      <c r="B59" s="157">
        <f>YEAR(Table7[[#This Row],[Date]])+IF(MONTH(Table7[[#This Row],[Date]])&gt;=4,1,0)</f>
        <v>2026</v>
      </c>
      <c r="C59" s="157">
        <f>YEAR(Table7[[#This Row],[Date]])</f>
        <v>2025</v>
      </c>
      <c r="D59" s="159">
        <f t="shared" si="4"/>
        <v>45778</v>
      </c>
      <c r="E59" s="157">
        <v>163</v>
      </c>
      <c r="F59" s="157">
        <v>163</v>
      </c>
      <c r="G59" s="157">
        <v>163</v>
      </c>
      <c r="H59" s="157">
        <v>163</v>
      </c>
      <c r="I59" s="157">
        <v>163</v>
      </c>
      <c r="J59" s="157">
        <v>163</v>
      </c>
      <c r="K59" s="157">
        <v>163</v>
      </c>
      <c r="L59" s="157">
        <v>163</v>
      </c>
      <c r="M59" s="157">
        <v>163</v>
      </c>
      <c r="N59" s="157">
        <v>163</v>
      </c>
      <c r="O59" s="157">
        <v>163</v>
      </c>
      <c r="P59" s="157">
        <v>163</v>
      </c>
      <c r="Q59" s="157">
        <v>163</v>
      </c>
      <c r="R59" s="157">
        <v>163</v>
      </c>
      <c r="S59" s="157">
        <v>163</v>
      </c>
      <c r="T59" s="157">
        <v>163</v>
      </c>
      <c r="U59" s="157">
        <v>163</v>
      </c>
      <c r="V59" s="157">
        <v>163</v>
      </c>
      <c r="W59" s="157">
        <v>163</v>
      </c>
      <c r="X59" s="157">
        <v>163</v>
      </c>
      <c r="Y59" s="157">
        <v>163</v>
      </c>
      <c r="Z59" s="157">
        <v>163</v>
      </c>
      <c r="AA59" s="157">
        <v>163</v>
      </c>
      <c r="AB59" s="157">
        <v>163</v>
      </c>
      <c r="AC59" s="157">
        <v>163</v>
      </c>
      <c r="AD59" s="157">
        <v>163</v>
      </c>
      <c r="AE59" s="157">
        <v>163</v>
      </c>
      <c r="AF59" s="157">
        <v>0</v>
      </c>
      <c r="AG59" s="157">
        <v>163</v>
      </c>
      <c r="AH59" s="157">
        <v>0</v>
      </c>
      <c r="AI59" s="157">
        <v>163</v>
      </c>
      <c r="AJ59" s="157">
        <v>163</v>
      </c>
      <c r="AK59" s="157">
        <v>163</v>
      </c>
      <c r="AL59" s="157">
        <v>163</v>
      </c>
      <c r="AM59" s="157">
        <v>163</v>
      </c>
      <c r="AN59" s="157">
        <v>163</v>
      </c>
      <c r="AO59" s="157">
        <v>163</v>
      </c>
      <c r="AP59" s="157">
        <v>163</v>
      </c>
      <c r="AQ59" s="157">
        <v>163</v>
      </c>
      <c r="AR59" s="157">
        <f t="shared" si="2"/>
        <v>6031</v>
      </c>
      <c r="AS59" s="185" t="s">
        <v>614</v>
      </c>
    </row>
    <row r="60" spans="1:45">
      <c r="A60" s="160">
        <f t="shared" si="5"/>
        <v>45802</v>
      </c>
      <c r="B60" s="157">
        <f>YEAR(Table7[[#This Row],[Date]])+IF(MONTH(Table7[[#This Row],[Date]])&gt;=4,1,0)</f>
        <v>2026</v>
      </c>
      <c r="C60" s="157">
        <f>YEAR(Table7[[#This Row],[Date]])</f>
        <v>2025</v>
      </c>
      <c r="D60" s="159">
        <f t="shared" si="4"/>
        <v>45778</v>
      </c>
      <c r="E60" s="157">
        <v>163</v>
      </c>
      <c r="F60" s="157">
        <v>163</v>
      </c>
      <c r="G60" s="157">
        <v>163</v>
      </c>
      <c r="H60" s="157">
        <v>163</v>
      </c>
      <c r="I60" s="157">
        <v>163</v>
      </c>
      <c r="J60" s="157">
        <v>163</v>
      </c>
      <c r="K60" s="157">
        <v>163</v>
      </c>
      <c r="L60" s="157">
        <v>163</v>
      </c>
      <c r="M60" s="157">
        <v>163</v>
      </c>
      <c r="N60" s="157">
        <v>163</v>
      </c>
      <c r="O60" s="157">
        <v>163</v>
      </c>
      <c r="P60" s="157">
        <v>163</v>
      </c>
      <c r="Q60" s="157">
        <v>163</v>
      </c>
      <c r="R60" s="157">
        <v>163</v>
      </c>
      <c r="S60" s="157">
        <v>163</v>
      </c>
      <c r="T60" s="157">
        <v>163</v>
      </c>
      <c r="U60" s="157">
        <v>163</v>
      </c>
      <c r="V60" s="157">
        <v>163</v>
      </c>
      <c r="W60" s="157">
        <v>163</v>
      </c>
      <c r="X60" s="157">
        <v>163</v>
      </c>
      <c r="Y60" s="157">
        <v>163</v>
      </c>
      <c r="Z60" s="157">
        <v>163</v>
      </c>
      <c r="AA60" s="157">
        <v>163</v>
      </c>
      <c r="AB60" s="157">
        <v>163</v>
      </c>
      <c r="AC60" s="157">
        <v>163</v>
      </c>
      <c r="AD60" s="157">
        <v>163</v>
      </c>
      <c r="AE60" s="157">
        <v>163</v>
      </c>
      <c r="AF60" s="157">
        <v>0</v>
      </c>
      <c r="AG60" s="157">
        <v>163</v>
      </c>
      <c r="AH60" s="157">
        <v>0</v>
      </c>
      <c r="AI60" s="157">
        <v>163</v>
      </c>
      <c r="AJ60" s="157">
        <v>163</v>
      </c>
      <c r="AK60" s="157">
        <v>163</v>
      </c>
      <c r="AL60" s="157">
        <v>163</v>
      </c>
      <c r="AM60" s="157">
        <v>163</v>
      </c>
      <c r="AN60" s="157">
        <v>163</v>
      </c>
      <c r="AO60" s="157">
        <v>163</v>
      </c>
      <c r="AP60" s="157">
        <v>163</v>
      </c>
      <c r="AQ60" s="157">
        <v>163</v>
      </c>
      <c r="AR60" s="157">
        <f t="shared" si="2"/>
        <v>6031</v>
      </c>
      <c r="AS60" s="185" t="s">
        <v>614</v>
      </c>
    </row>
    <row r="61" spans="1:45">
      <c r="A61" s="160">
        <f t="shared" si="5"/>
        <v>45803</v>
      </c>
      <c r="B61" s="157">
        <f>YEAR(Table7[[#This Row],[Date]])+IF(MONTH(Table7[[#This Row],[Date]])&gt;=4,1,0)</f>
        <v>2026</v>
      </c>
      <c r="C61" s="157">
        <f>YEAR(Table7[[#This Row],[Date]])</f>
        <v>2025</v>
      </c>
      <c r="D61" s="159">
        <f t="shared" si="4"/>
        <v>45778</v>
      </c>
      <c r="E61" s="157">
        <v>260</v>
      </c>
      <c r="F61" s="157">
        <v>260</v>
      </c>
      <c r="G61" s="157">
        <v>260</v>
      </c>
      <c r="H61" s="157">
        <v>260</v>
      </c>
      <c r="I61" s="157">
        <v>260</v>
      </c>
      <c r="J61" s="157">
        <v>260</v>
      </c>
      <c r="K61" s="157">
        <v>260</v>
      </c>
      <c r="L61" s="157">
        <v>260</v>
      </c>
      <c r="M61" s="157">
        <v>260</v>
      </c>
      <c r="N61" s="157">
        <v>260</v>
      </c>
      <c r="O61" s="157">
        <v>260</v>
      </c>
      <c r="P61" s="157">
        <v>260</v>
      </c>
      <c r="Q61" s="157">
        <v>260</v>
      </c>
      <c r="R61" s="157">
        <v>260</v>
      </c>
      <c r="S61" s="157">
        <v>260</v>
      </c>
      <c r="T61" s="157">
        <v>260</v>
      </c>
      <c r="U61" s="157">
        <v>260</v>
      </c>
      <c r="V61" s="157">
        <v>260</v>
      </c>
      <c r="W61" s="157">
        <v>260</v>
      </c>
      <c r="X61" s="157">
        <v>260</v>
      </c>
      <c r="Y61" s="157">
        <v>260</v>
      </c>
      <c r="Z61" s="157">
        <v>260</v>
      </c>
      <c r="AA61" s="157">
        <v>260</v>
      </c>
      <c r="AB61" s="157">
        <v>260</v>
      </c>
      <c r="AC61" s="157">
        <v>260</v>
      </c>
      <c r="AD61" s="157">
        <v>260</v>
      </c>
      <c r="AE61" s="157">
        <v>260</v>
      </c>
      <c r="AF61" s="157">
        <v>0</v>
      </c>
      <c r="AG61" s="157">
        <v>260</v>
      </c>
      <c r="AH61" s="157">
        <v>0</v>
      </c>
      <c r="AI61" s="157">
        <v>260</v>
      </c>
      <c r="AJ61" s="157">
        <v>260</v>
      </c>
      <c r="AK61" s="157">
        <v>260</v>
      </c>
      <c r="AL61" s="157">
        <v>260</v>
      </c>
      <c r="AM61" s="157">
        <v>260</v>
      </c>
      <c r="AN61" s="157">
        <v>260</v>
      </c>
      <c r="AO61" s="157">
        <v>260</v>
      </c>
      <c r="AP61" s="157">
        <v>260</v>
      </c>
      <c r="AQ61" s="157">
        <v>260</v>
      </c>
      <c r="AR61" s="157">
        <f t="shared" si="2"/>
        <v>9620</v>
      </c>
      <c r="AS61" s="185" t="s">
        <v>614</v>
      </c>
    </row>
    <row r="62" spans="1:45">
      <c r="A62" s="160">
        <f t="shared" si="5"/>
        <v>45804</v>
      </c>
      <c r="B62" s="157">
        <f>YEAR(Table7[[#This Row],[Date]])+IF(MONTH(Table7[[#This Row],[Date]])&gt;=4,1,0)</f>
        <v>2026</v>
      </c>
      <c r="C62" s="157">
        <f>YEAR(Table7[[#This Row],[Date]])</f>
        <v>2025</v>
      </c>
      <c r="D62" s="159">
        <f t="shared" si="4"/>
        <v>45778</v>
      </c>
      <c r="E62" s="157">
        <v>0</v>
      </c>
      <c r="F62" s="157">
        <v>0</v>
      </c>
      <c r="G62" s="157">
        <v>0</v>
      </c>
      <c r="H62" s="157">
        <v>0</v>
      </c>
      <c r="I62" s="157">
        <v>0</v>
      </c>
      <c r="J62" s="157">
        <v>0</v>
      </c>
      <c r="K62" s="157">
        <v>0</v>
      </c>
      <c r="L62" s="157">
        <v>0</v>
      </c>
      <c r="M62" s="157">
        <v>0</v>
      </c>
      <c r="N62" s="157">
        <v>0</v>
      </c>
      <c r="O62" s="157">
        <v>0</v>
      </c>
      <c r="P62" s="157">
        <v>0</v>
      </c>
      <c r="Q62" s="157">
        <v>0</v>
      </c>
      <c r="R62" s="157">
        <v>0</v>
      </c>
      <c r="S62" s="157">
        <v>0</v>
      </c>
      <c r="T62" s="157">
        <v>0</v>
      </c>
      <c r="U62" s="157">
        <v>0</v>
      </c>
      <c r="V62" s="157">
        <v>0</v>
      </c>
      <c r="W62" s="157">
        <v>0</v>
      </c>
      <c r="X62" s="157">
        <v>0</v>
      </c>
      <c r="Y62" s="157">
        <v>0</v>
      </c>
      <c r="Z62" s="157">
        <v>0</v>
      </c>
      <c r="AA62" s="157">
        <v>0</v>
      </c>
      <c r="AB62" s="157">
        <v>0</v>
      </c>
      <c r="AC62" s="157">
        <v>0</v>
      </c>
      <c r="AD62" s="157">
        <v>0</v>
      </c>
      <c r="AE62" s="157">
        <v>0</v>
      </c>
      <c r="AF62" s="157">
        <v>0</v>
      </c>
      <c r="AG62" s="157">
        <v>0</v>
      </c>
      <c r="AH62" s="157">
        <v>0</v>
      </c>
      <c r="AI62" s="157">
        <v>0</v>
      </c>
      <c r="AJ62" s="157">
        <v>0</v>
      </c>
      <c r="AK62" s="157">
        <v>0</v>
      </c>
      <c r="AL62" s="157">
        <v>0</v>
      </c>
      <c r="AM62" s="157">
        <v>0</v>
      </c>
      <c r="AN62" s="157">
        <v>0</v>
      </c>
      <c r="AO62" s="157">
        <v>0</v>
      </c>
      <c r="AP62" s="157">
        <v>0</v>
      </c>
      <c r="AQ62" s="157">
        <v>0</v>
      </c>
      <c r="AR62" s="157">
        <f t="shared" si="2"/>
        <v>0</v>
      </c>
      <c r="AS62" s="185" t="s">
        <v>614</v>
      </c>
    </row>
    <row r="63" spans="1:45">
      <c r="A63" s="160">
        <f t="shared" si="5"/>
        <v>45805</v>
      </c>
      <c r="B63" s="157">
        <f>YEAR(Table7[[#This Row],[Date]])+IF(MONTH(Table7[[#This Row],[Date]])&gt;=4,1,0)</f>
        <v>2026</v>
      </c>
      <c r="C63" s="157">
        <f>YEAR(Table7[[#This Row],[Date]])</f>
        <v>2025</v>
      </c>
      <c r="D63" s="159">
        <f t="shared" si="4"/>
        <v>45778</v>
      </c>
      <c r="E63" s="157">
        <v>130</v>
      </c>
      <c r="F63" s="157">
        <v>130</v>
      </c>
      <c r="G63" s="157">
        <v>130</v>
      </c>
      <c r="H63" s="157">
        <v>130</v>
      </c>
      <c r="I63" s="157">
        <v>130</v>
      </c>
      <c r="J63" s="157">
        <v>130</v>
      </c>
      <c r="K63" s="157">
        <v>130</v>
      </c>
      <c r="L63" s="157">
        <v>130</v>
      </c>
      <c r="M63" s="157">
        <v>130</v>
      </c>
      <c r="N63" s="157">
        <v>130</v>
      </c>
      <c r="O63" s="157">
        <v>130</v>
      </c>
      <c r="P63" s="157">
        <v>130</v>
      </c>
      <c r="Q63" s="157">
        <v>130</v>
      </c>
      <c r="R63" s="157">
        <v>130</v>
      </c>
      <c r="S63" s="157">
        <v>130</v>
      </c>
      <c r="T63" s="157">
        <v>130</v>
      </c>
      <c r="U63" s="157">
        <v>130</v>
      </c>
      <c r="V63" s="157">
        <v>130</v>
      </c>
      <c r="W63" s="157">
        <v>130</v>
      </c>
      <c r="X63" s="157">
        <v>130</v>
      </c>
      <c r="Y63" s="157">
        <v>130</v>
      </c>
      <c r="Z63" s="157">
        <v>130</v>
      </c>
      <c r="AA63" s="157">
        <v>130</v>
      </c>
      <c r="AB63" s="157">
        <v>130</v>
      </c>
      <c r="AC63" s="157">
        <v>130</v>
      </c>
      <c r="AD63" s="157">
        <v>130</v>
      </c>
      <c r="AE63" s="157">
        <v>130</v>
      </c>
      <c r="AF63" s="157">
        <v>0</v>
      </c>
      <c r="AG63" s="157">
        <v>130</v>
      </c>
      <c r="AH63" s="157">
        <v>0</v>
      </c>
      <c r="AI63" s="157">
        <v>130</v>
      </c>
      <c r="AJ63" s="157">
        <v>130</v>
      </c>
      <c r="AK63" s="157">
        <v>130</v>
      </c>
      <c r="AL63" s="157">
        <v>130</v>
      </c>
      <c r="AM63" s="157">
        <v>130</v>
      </c>
      <c r="AN63" s="157">
        <v>130</v>
      </c>
      <c r="AO63" s="157">
        <v>130</v>
      </c>
      <c r="AP63" s="157">
        <v>130</v>
      </c>
      <c r="AQ63" s="157">
        <v>130</v>
      </c>
      <c r="AR63" s="157">
        <f t="shared" si="2"/>
        <v>4810</v>
      </c>
      <c r="AS63" s="185" t="s">
        <v>614</v>
      </c>
    </row>
    <row r="64" spans="1:45">
      <c r="A64" s="160">
        <f t="shared" si="5"/>
        <v>45806</v>
      </c>
      <c r="B64" s="157">
        <f>YEAR(Table7[[#This Row],[Date]])+IF(MONTH(Table7[[#This Row],[Date]])&gt;=4,1,0)</f>
        <v>2026</v>
      </c>
      <c r="C64" s="157">
        <f>YEAR(Table7[[#This Row],[Date]])</f>
        <v>2025</v>
      </c>
      <c r="D64" s="159">
        <f t="shared" si="4"/>
        <v>45778</v>
      </c>
      <c r="E64" s="157">
        <v>33</v>
      </c>
      <c r="F64" s="157">
        <v>33</v>
      </c>
      <c r="G64" s="157">
        <v>33</v>
      </c>
      <c r="H64" s="157">
        <v>33</v>
      </c>
      <c r="I64" s="157">
        <v>33</v>
      </c>
      <c r="J64" s="157">
        <v>33</v>
      </c>
      <c r="K64" s="157">
        <v>33</v>
      </c>
      <c r="L64" s="157">
        <v>33</v>
      </c>
      <c r="M64" s="157">
        <v>33</v>
      </c>
      <c r="N64" s="157">
        <v>33</v>
      </c>
      <c r="O64" s="157">
        <v>33</v>
      </c>
      <c r="P64" s="157">
        <v>33</v>
      </c>
      <c r="Q64" s="157">
        <v>33</v>
      </c>
      <c r="R64" s="157">
        <v>33</v>
      </c>
      <c r="S64" s="157">
        <v>33</v>
      </c>
      <c r="T64" s="157">
        <v>33</v>
      </c>
      <c r="U64" s="157">
        <v>33</v>
      </c>
      <c r="V64" s="157">
        <v>33</v>
      </c>
      <c r="W64" s="157">
        <v>33</v>
      </c>
      <c r="X64" s="157">
        <v>33</v>
      </c>
      <c r="Y64" s="157">
        <v>33</v>
      </c>
      <c r="Z64" s="157">
        <v>33</v>
      </c>
      <c r="AA64" s="157">
        <v>33</v>
      </c>
      <c r="AB64" s="157">
        <v>33</v>
      </c>
      <c r="AC64" s="157">
        <v>33</v>
      </c>
      <c r="AD64" s="157">
        <v>33</v>
      </c>
      <c r="AE64" s="157">
        <v>33</v>
      </c>
      <c r="AF64" s="157">
        <v>0</v>
      </c>
      <c r="AG64" s="157">
        <v>33</v>
      </c>
      <c r="AH64" s="157">
        <v>0</v>
      </c>
      <c r="AI64" s="157">
        <v>33</v>
      </c>
      <c r="AJ64" s="157">
        <v>33</v>
      </c>
      <c r="AK64" s="157">
        <v>33</v>
      </c>
      <c r="AL64" s="157">
        <v>33</v>
      </c>
      <c r="AM64" s="157">
        <v>33</v>
      </c>
      <c r="AN64" s="157">
        <v>33</v>
      </c>
      <c r="AO64" s="157">
        <v>33</v>
      </c>
      <c r="AP64" s="157">
        <v>33</v>
      </c>
      <c r="AQ64" s="157">
        <v>33</v>
      </c>
      <c r="AR64" s="157">
        <f t="shared" si="2"/>
        <v>1221</v>
      </c>
      <c r="AS64" s="185" t="s">
        <v>614</v>
      </c>
    </row>
    <row r="65" spans="1:45">
      <c r="A65" s="160">
        <f t="shared" si="5"/>
        <v>45807</v>
      </c>
      <c r="B65" s="157">
        <f>YEAR(Table7[[#This Row],[Date]])+IF(MONTH(Table7[[#This Row],[Date]])&gt;=4,1,0)</f>
        <v>2026</v>
      </c>
      <c r="C65" s="157">
        <f>YEAR(Table7[[#This Row],[Date]])</f>
        <v>2025</v>
      </c>
      <c r="D65" s="159">
        <f t="shared" si="4"/>
        <v>45778</v>
      </c>
      <c r="E65" s="157">
        <v>33</v>
      </c>
      <c r="F65" s="157">
        <v>33</v>
      </c>
      <c r="G65" s="157">
        <v>33</v>
      </c>
      <c r="H65" s="157">
        <v>33</v>
      </c>
      <c r="I65" s="157">
        <v>33</v>
      </c>
      <c r="J65" s="157">
        <v>33</v>
      </c>
      <c r="K65" s="157">
        <v>33</v>
      </c>
      <c r="L65" s="157">
        <v>33</v>
      </c>
      <c r="M65" s="157">
        <v>33</v>
      </c>
      <c r="N65" s="157">
        <v>33</v>
      </c>
      <c r="O65" s="157">
        <v>33</v>
      </c>
      <c r="P65" s="157">
        <v>33</v>
      </c>
      <c r="Q65" s="157">
        <v>33</v>
      </c>
      <c r="R65" s="157">
        <v>33</v>
      </c>
      <c r="S65" s="157">
        <v>33</v>
      </c>
      <c r="T65" s="157">
        <v>33</v>
      </c>
      <c r="U65" s="157">
        <v>33</v>
      </c>
      <c r="V65" s="157">
        <v>33</v>
      </c>
      <c r="W65" s="157">
        <v>33</v>
      </c>
      <c r="X65" s="157">
        <v>33</v>
      </c>
      <c r="Y65" s="157">
        <v>33</v>
      </c>
      <c r="Z65" s="157">
        <v>33</v>
      </c>
      <c r="AA65" s="157">
        <v>33</v>
      </c>
      <c r="AB65" s="157">
        <v>33</v>
      </c>
      <c r="AC65" s="157">
        <v>33</v>
      </c>
      <c r="AD65" s="157">
        <v>33</v>
      </c>
      <c r="AE65" s="157">
        <v>33</v>
      </c>
      <c r="AF65" s="157">
        <v>0</v>
      </c>
      <c r="AG65" s="157">
        <v>33</v>
      </c>
      <c r="AH65" s="157">
        <v>0</v>
      </c>
      <c r="AI65" s="157">
        <v>33</v>
      </c>
      <c r="AJ65" s="157">
        <v>33</v>
      </c>
      <c r="AK65" s="157">
        <v>33</v>
      </c>
      <c r="AL65" s="157">
        <v>33</v>
      </c>
      <c r="AM65" s="157">
        <v>33</v>
      </c>
      <c r="AN65" s="157">
        <v>33</v>
      </c>
      <c r="AO65" s="157">
        <v>33</v>
      </c>
      <c r="AP65" s="157">
        <v>33</v>
      </c>
      <c r="AQ65" s="157">
        <v>33</v>
      </c>
      <c r="AR65" s="157">
        <f t="shared" si="2"/>
        <v>1221</v>
      </c>
      <c r="AS65" s="185" t="s">
        <v>614</v>
      </c>
    </row>
    <row r="66" spans="1:45">
      <c r="A66" s="160">
        <f t="shared" si="5"/>
        <v>45808</v>
      </c>
      <c r="B66" s="157">
        <f>YEAR(Table7[[#This Row],[Date]])+IF(MONTH(Table7[[#This Row],[Date]])&gt;=4,1,0)</f>
        <v>2026</v>
      </c>
      <c r="C66" s="157">
        <f>YEAR(Table7[[#This Row],[Date]])</f>
        <v>2025</v>
      </c>
      <c r="D66" s="159">
        <f t="shared" si="4"/>
        <v>45778</v>
      </c>
      <c r="E66" s="157">
        <v>0</v>
      </c>
      <c r="F66" s="157">
        <v>0</v>
      </c>
      <c r="G66" s="157">
        <v>0</v>
      </c>
      <c r="H66" s="157">
        <v>0</v>
      </c>
      <c r="I66" s="157">
        <v>0</v>
      </c>
      <c r="J66" s="157">
        <v>0</v>
      </c>
      <c r="K66" s="157">
        <v>0</v>
      </c>
      <c r="L66" s="157">
        <v>0</v>
      </c>
      <c r="M66" s="157">
        <v>0</v>
      </c>
      <c r="N66" s="157">
        <v>0</v>
      </c>
      <c r="O66" s="157">
        <v>0</v>
      </c>
      <c r="P66" s="157">
        <v>0</v>
      </c>
      <c r="Q66" s="157">
        <v>0</v>
      </c>
      <c r="R66" s="157">
        <v>0</v>
      </c>
      <c r="S66" s="157">
        <v>0</v>
      </c>
      <c r="T66" s="157">
        <v>0</v>
      </c>
      <c r="U66" s="157">
        <v>0</v>
      </c>
      <c r="V66" s="157">
        <v>0</v>
      </c>
      <c r="W66" s="157">
        <v>0</v>
      </c>
      <c r="X66" s="157">
        <v>0</v>
      </c>
      <c r="Y66" s="157">
        <v>0</v>
      </c>
      <c r="Z66" s="157">
        <v>0</v>
      </c>
      <c r="AA66" s="157">
        <v>0</v>
      </c>
      <c r="AB66" s="157">
        <v>0</v>
      </c>
      <c r="AC66" s="157">
        <v>0</v>
      </c>
      <c r="AD66" s="157">
        <v>0</v>
      </c>
      <c r="AE66" s="157">
        <v>0</v>
      </c>
      <c r="AF66" s="157">
        <v>0</v>
      </c>
      <c r="AG66" s="157">
        <v>0</v>
      </c>
      <c r="AH66" s="157">
        <v>0</v>
      </c>
      <c r="AI66" s="157">
        <v>0</v>
      </c>
      <c r="AJ66" s="157">
        <v>0</v>
      </c>
      <c r="AK66" s="157">
        <v>0</v>
      </c>
      <c r="AL66" s="157">
        <v>0</v>
      </c>
      <c r="AM66" s="157">
        <v>0</v>
      </c>
      <c r="AN66" s="157">
        <v>0</v>
      </c>
      <c r="AO66" s="157">
        <v>0</v>
      </c>
      <c r="AP66" s="157">
        <v>0</v>
      </c>
      <c r="AQ66" s="157">
        <v>0</v>
      </c>
      <c r="AR66" s="157">
        <f t="shared" si="2"/>
        <v>0</v>
      </c>
      <c r="AS66" s="185" t="s">
        <v>614</v>
      </c>
    </row>
    <row r="67" spans="1:45">
      <c r="A67" s="160">
        <f t="shared" si="5"/>
        <v>45809</v>
      </c>
      <c r="B67" s="157">
        <f>YEAR(Table7[[#This Row],[Date]])+IF(MONTH(Table7[[#This Row],[Date]])&gt;=4,1,0)</f>
        <v>2026</v>
      </c>
      <c r="C67" s="157">
        <f>YEAR(Table7[[#This Row],[Date]])</f>
        <v>2025</v>
      </c>
      <c r="D67" s="159">
        <f t="shared" si="4"/>
        <v>45809</v>
      </c>
      <c r="E67" s="157">
        <v>0</v>
      </c>
      <c r="F67" s="157">
        <v>0</v>
      </c>
      <c r="G67" s="157">
        <v>0</v>
      </c>
      <c r="H67" s="157">
        <v>0</v>
      </c>
      <c r="I67" s="157">
        <v>0</v>
      </c>
      <c r="J67" s="157">
        <v>0</v>
      </c>
      <c r="K67" s="157">
        <v>0</v>
      </c>
      <c r="L67" s="157">
        <v>0</v>
      </c>
      <c r="M67" s="157">
        <v>0</v>
      </c>
      <c r="N67" s="157">
        <v>0</v>
      </c>
      <c r="O67" s="157">
        <v>0</v>
      </c>
      <c r="P67" s="157">
        <v>0</v>
      </c>
      <c r="Q67" s="157">
        <v>0</v>
      </c>
      <c r="R67" s="157">
        <v>0</v>
      </c>
      <c r="S67" s="157">
        <v>0</v>
      </c>
      <c r="T67" s="157">
        <v>0</v>
      </c>
      <c r="U67" s="157">
        <v>0</v>
      </c>
      <c r="V67" s="157">
        <v>0</v>
      </c>
      <c r="W67" s="157">
        <v>0</v>
      </c>
      <c r="X67" s="157">
        <v>0</v>
      </c>
      <c r="Y67" s="157">
        <v>0</v>
      </c>
      <c r="Z67" s="157">
        <v>0</v>
      </c>
      <c r="AA67" s="157">
        <v>0</v>
      </c>
      <c r="AB67" s="157">
        <v>0</v>
      </c>
      <c r="AC67" s="157">
        <v>0</v>
      </c>
      <c r="AD67" s="157">
        <v>0</v>
      </c>
      <c r="AE67" s="157">
        <v>0</v>
      </c>
      <c r="AF67" s="157">
        <v>0</v>
      </c>
      <c r="AG67" s="157">
        <v>0</v>
      </c>
      <c r="AH67" s="157">
        <v>0</v>
      </c>
      <c r="AI67" s="157">
        <v>0</v>
      </c>
      <c r="AJ67" s="157">
        <v>0</v>
      </c>
      <c r="AK67" s="157">
        <v>0</v>
      </c>
      <c r="AL67" s="157">
        <v>0</v>
      </c>
      <c r="AM67" s="157">
        <v>0</v>
      </c>
      <c r="AN67" s="157">
        <v>0</v>
      </c>
      <c r="AO67" s="157">
        <v>0</v>
      </c>
      <c r="AP67" s="157">
        <v>0</v>
      </c>
      <c r="AQ67" s="157">
        <v>0</v>
      </c>
      <c r="AR67" s="157">
        <f t="shared" ref="AR67:AR130" si="6">SUM(E67:AQ67)</f>
        <v>0</v>
      </c>
      <c r="AS67" s="185" t="s">
        <v>614</v>
      </c>
    </row>
    <row r="68" spans="1:45">
      <c r="A68" s="160">
        <f t="shared" si="5"/>
        <v>45810</v>
      </c>
      <c r="B68" s="157">
        <f>YEAR(Table7[[#This Row],[Date]])+IF(MONTH(Table7[[#This Row],[Date]])&gt;=4,1,0)</f>
        <v>2026</v>
      </c>
      <c r="C68" s="157">
        <f>YEAR(Table7[[#This Row],[Date]])</f>
        <v>2025</v>
      </c>
      <c r="D68" s="159">
        <f t="shared" si="4"/>
        <v>45809</v>
      </c>
      <c r="E68" s="157">
        <v>0</v>
      </c>
      <c r="F68" s="157">
        <v>0</v>
      </c>
      <c r="G68" s="157">
        <v>0</v>
      </c>
      <c r="H68" s="157">
        <v>0</v>
      </c>
      <c r="I68" s="157">
        <v>0</v>
      </c>
      <c r="J68" s="157">
        <v>0</v>
      </c>
      <c r="K68" s="157">
        <v>0</v>
      </c>
      <c r="L68" s="157">
        <v>0</v>
      </c>
      <c r="M68" s="157">
        <v>0</v>
      </c>
      <c r="N68" s="157">
        <v>0</v>
      </c>
      <c r="O68" s="157">
        <v>0</v>
      </c>
      <c r="P68" s="157">
        <v>0</v>
      </c>
      <c r="Q68" s="157">
        <v>0</v>
      </c>
      <c r="R68" s="157">
        <v>0</v>
      </c>
      <c r="S68" s="157">
        <v>0</v>
      </c>
      <c r="T68" s="157">
        <v>0</v>
      </c>
      <c r="U68" s="157">
        <v>0</v>
      </c>
      <c r="V68" s="157">
        <v>0</v>
      </c>
      <c r="W68" s="157">
        <v>0</v>
      </c>
      <c r="X68" s="157">
        <v>0</v>
      </c>
      <c r="Y68" s="157">
        <v>0</v>
      </c>
      <c r="Z68" s="157">
        <v>0</v>
      </c>
      <c r="AA68" s="157">
        <v>0</v>
      </c>
      <c r="AB68" s="157">
        <v>0</v>
      </c>
      <c r="AC68" s="157">
        <v>0</v>
      </c>
      <c r="AD68" s="157">
        <v>0</v>
      </c>
      <c r="AE68" s="157">
        <v>0</v>
      </c>
      <c r="AF68" s="157">
        <v>0</v>
      </c>
      <c r="AG68" s="157">
        <v>0</v>
      </c>
      <c r="AH68" s="157">
        <v>0</v>
      </c>
      <c r="AI68" s="157">
        <v>0</v>
      </c>
      <c r="AJ68" s="157">
        <v>0</v>
      </c>
      <c r="AK68" s="157">
        <v>0</v>
      </c>
      <c r="AL68" s="157">
        <v>0</v>
      </c>
      <c r="AM68" s="157">
        <v>0</v>
      </c>
      <c r="AN68" s="157">
        <v>0</v>
      </c>
      <c r="AO68" s="157">
        <v>0</v>
      </c>
      <c r="AP68" s="157">
        <v>0</v>
      </c>
      <c r="AQ68" s="157">
        <v>0</v>
      </c>
      <c r="AR68" s="157">
        <f t="shared" si="6"/>
        <v>0</v>
      </c>
      <c r="AS68" s="185" t="s">
        <v>614</v>
      </c>
    </row>
    <row r="69" spans="1:45">
      <c r="A69" s="160">
        <f t="shared" si="5"/>
        <v>45811</v>
      </c>
      <c r="B69" s="157">
        <f>YEAR(Table7[[#This Row],[Date]])+IF(MONTH(Table7[[#This Row],[Date]])&gt;=4,1,0)</f>
        <v>2026</v>
      </c>
      <c r="C69" s="157">
        <f>YEAR(Table7[[#This Row],[Date]])</f>
        <v>2025</v>
      </c>
      <c r="D69" s="159">
        <f t="shared" si="4"/>
        <v>45809</v>
      </c>
      <c r="E69" s="157">
        <v>0</v>
      </c>
      <c r="F69" s="157">
        <v>0</v>
      </c>
      <c r="G69" s="157">
        <v>0</v>
      </c>
      <c r="H69" s="157">
        <v>0</v>
      </c>
      <c r="I69" s="157">
        <v>0</v>
      </c>
      <c r="J69" s="157">
        <v>0</v>
      </c>
      <c r="K69" s="157">
        <v>0</v>
      </c>
      <c r="L69" s="157">
        <v>0</v>
      </c>
      <c r="M69" s="157">
        <v>0</v>
      </c>
      <c r="N69" s="157">
        <v>0</v>
      </c>
      <c r="O69" s="157">
        <v>0</v>
      </c>
      <c r="P69" s="157">
        <v>0</v>
      </c>
      <c r="Q69" s="157">
        <v>0</v>
      </c>
      <c r="R69" s="157">
        <v>0</v>
      </c>
      <c r="S69" s="157">
        <v>0</v>
      </c>
      <c r="T69" s="157">
        <v>0</v>
      </c>
      <c r="U69" s="157">
        <v>0</v>
      </c>
      <c r="V69" s="157">
        <v>0</v>
      </c>
      <c r="W69" s="157">
        <v>0</v>
      </c>
      <c r="X69" s="157">
        <v>0</v>
      </c>
      <c r="Y69" s="157">
        <v>0</v>
      </c>
      <c r="Z69" s="157">
        <v>0</v>
      </c>
      <c r="AA69" s="157">
        <v>0</v>
      </c>
      <c r="AB69" s="157">
        <v>0</v>
      </c>
      <c r="AC69" s="157">
        <v>0</v>
      </c>
      <c r="AD69" s="157">
        <v>0</v>
      </c>
      <c r="AE69" s="157">
        <v>0</v>
      </c>
      <c r="AF69" s="157">
        <v>0</v>
      </c>
      <c r="AG69" s="157">
        <v>0</v>
      </c>
      <c r="AH69" s="157">
        <v>0</v>
      </c>
      <c r="AI69" s="157">
        <v>0</v>
      </c>
      <c r="AJ69" s="157">
        <v>0</v>
      </c>
      <c r="AK69" s="157">
        <v>0</v>
      </c>
      <c r="AL69" s="157">
        <v>0</v>
      </c>
      <c r="AM69" s="157">
        <v>0</v>
      </c>
      <c r="AN69" s="157">
        <v>0</v>
      </c>
      <c r="AO69" s="157">
        <v>0</v>
      </c>
      <c r="AP69" s="157">
        <v>0</v>
      </c>
      <c r="AQ69" s="157">
        <v>0</v>
      </c>
      <c r="AR69" s="157">
        <f t="shared" si="6"/>
        <v>0</v>
      </c>
      <c r="AS69" s="185" t="s">
        <v>614</v>
      </c>
    </row>
    <row r="70" spans="1:45">
      <c r="A70" s="160">
        <f t="shared" si="5"/>
        <v>45812</v>
      </c>
      <c r="B70" s="157">
        <f>YEAR(Table7[[#This Row],[Date]])+IF(MONTH(Table7[[#This Row],[Date]])&gt;=4,1,0)</f>
        <v>2026</v>
      </c>
      <c r="C70" s="157">
        <f>YEAR(Table7[[#This Row],[Date]])</f>
        <v>2025</v>
      </c>
      <c r="D70" s="159">
        <f t="shared" si="4"/>
        <v>45809</v>
      </c>
      <c r="E70" s="157">
        <v>65</v>
      </c>
      <c r="F70" s="157">
        <v>65</v>
      </c>
      <c r="G70" s="157">
        <v>65</v>
      </c>
      <c r="H70" s="157">
        <v>65</v>
      </c>
      <c r="I70" s="157">
        <v>65</v>
      </c>
      <c r="J70" s="157">
        <v>65</v>
      </c>
      <c r="K70" s="157">
        <v>65</v>
      </c>
      <c r="L70" s="157">
        <v>65</v>
      </c>
      <c r="M70" s="157">
        <v>65</v>
      </c>
      <c r="N70" s="157">
        <v>65</v>
      </c>
      <c r="O70" s="157">
        <v>65</v>
      </c>
      <c r="P70" s="157">
        <v>65</v>
      </c>
      <c r="Q70" s="157">
        <v>65</v>
      </c>
      <c r="R70" s="157">
        <v>65</v>
      </c>
      <c r="S70" s="157">
        <v>65</v>
      </c>
      <c r="T70" s="157">
        <v>65</v>
      </c>
      <c r="U70" s="157">
        <v>65</v>
      </c>
      <c r="V70" s="157">
        <v>65</v>
      </c>
      <c r="W70" s="157">
        <v>65</v>
      </c>
      <c r="X70" s="157">
        <v>65</v>
      </c>
      <c r="Y70" s="157">
        <v>65</v>
      </c>
      <c r="Z70" s="157">
        <v>65</v>
      </c>
      <c r="AA70" s="157">
        <v>65</v>
      </c>
      <c r="AB70" s="157">
        <v>65</v>
      </c>
      <c r="AC70" s="157">
        <v>65</v>
      </c>
      <c r="AD70" s="157">
        <v>65</v>
      </c>
      <c r="AE70" s="157">
        <v>65</v>
      </c>
      <c r="AF70" s="157">
        <v>0</v>
      </c>
      <c r="AG70" s="157">
        <v>65</v>
      </c>
      <c r="AH70" s="157">
        <v>0</v>
      </c>
      <c r="AI70" s="157">
        <v>65</v>
      </c>
      <c r="AJ70" s="157">
        <v>65</v>
      </c>
      <c r="AK70" s="157">
        <v>65</v>
      </c>
      <c r="AL70" s="157">
        <v>65</v>
      </c>
      <c r="AM70" s="157">
        <v>65</v>
      </c>
      <c r="AN70" s="157">
        <v>65</v>
      </c>
      <c r="AO70" s="157">
        <v>65</v>
      </c>
      <c r="AP70" s="157">
        <v>65</v>
      </c>
      <c r="AQ70" s="157">
        <v>65</v>
      </c>
      <c r="AR70" s="157">
        <f t="shared" si="6"/>
        <v>2405</v>
      </c>
      <c r="AS70" s="185" t="s">
        <v>614</v>
      </c>
    </row>
    <row r="71" spans="1:45">
      <c r="A71" s="160">
        <f t="shared" si="5"/>
        <v>45813</v>
      </c>
      <c r="B71" s="157">
        <f>YEAR(Table7[[#This Row],[Date]])+IF(MONTH(Table7[[#This Row],[Date]])&gt;=4,1,0)</f>
        <v>2026</v>
      </c>
      <c r="C71" s="157">
        <f>YEAR(Table7[[#This Row],[Date]])</f>
        <v>2025</v>
      </c>
      <c r="D71" s="159">
        <f t="shared" si="4"/>
        <v>45809</v>
      </c>
      <c r="E71" s="157">
        <v>163</v>
      </c>
      <c r="F71" s="157">
        <v>163</v>
      </c>
      <c r="G71" s="157">
        <v>163</v>
      </c>
      <c r="H71" s="157">
        <v>163</v>
      </c>
      <c r="I71" s="157">
        <v>163</v>
      </c>
      <c r="J71" s="157">
        <v>163</v>
      </c>
      <c r="K71" s="157">
        <v>163</v>
      </c>
      <c r="L71" s="157">
        <v>163</v>
      </c>
      <c r="M71" s="157">
        <v>163</v>
      </c>
      <c r="N71" s="157">
        <v>163</v>
      </c>
      <c r="O71" s="157">
        <v>163</v>
      </c>
      <c r="P71" s="157">
        <v>163</v>
      </c>
      <c r="Q71" s="157">
        <v>163</v>
      </c>
      <c r="R71" s="157">
        <v>163</v>
      </c>
      <c r="S71" s="157">
        <v>163</v>
      </c>
      <c r="T71" s="157">
        <v>163</v>
      </c>
      <c r="U71" s="157">
        <v>163</v>
      </c>
      <c r="V71" s="157">
        <v>163</v>
      </c>
      <c r="W71" s="157">
        <v>163</v>
      </c>
      <c r="X71" s="157">
        <v>163</v>
      </c>
      <c r="Y71" s="157">
        <v>163</v>
      </c>
      <c r="Z71" s="157">
        <v>163</v>
      </c>
      <c r="AA71" s="157">
        <v>163</v>
      </c>
      <c r="AB71" s="157">
        <v>163</v>
      </c>
      <c r="AC71" s="157">
        <v>163</v>
      </c>
      <c r="AD71" s="157">
        <v>163</v>
      </c>
      <c r="AE71" s="157">
        <v>163</v>
      </c>
      <c r="AF71" s="157">
        <v>0</v>
      </c>
      <c r="AG71" s="157">
        <v>163</v>
      </c>
      <c r="AH71" s="157">
        <v>0</v>
      </c>
      <c r="AI71" s="157">
        <v>163</v>
      </c>
      <c r="AJ71" s="157">
        <v>163</v>
      </c>
      <c r="AK71" s="157">
        <v>163</v>
      </c>
      <c r="AL71" s="157">
        <v>163</v>
      </c>
      <c r="AM71" s="157">
        <v>163</v>
      </c>
      <c r="AN71" s="157">
        <v>163</v>
      </c>
      <c r="AO71" s="157">
        <v>163</v>
      </c>
      <c r="AP71" s="157">
        <v>163</v>
      </c>
      <c r="AQ71" s="157">
        <v>163</v>
      </c>
      <c r="AR71" s="157">
        <f t="shared" si="6"/>
        <v>6031</v>
      </c>
      <c r="AS71" s="185" t="s">
        <v>614</v>
      </c>
    </row>
    <row r="72" spans="1:45">
      <c r="A72" s="160">
        <f t="shared" si="5"/>
        <v>45814</v>
      </c>
      <c r="B72" s="157">
        <f>YEAR(Table7[[#This Row],[Date]])+IF(MONTH(Table7[[#This Row],[Date]])&gt;=4,1,0)</f>
        <v>2026</v>
      </c>
      <c r="C72" s="157">
        <f>YEAR(Table7[[#This Row],[Date]])</f>
        <v>2025</v>
      </c>
      <c r="D72" s="159">
        <f t="shared" si="4"/>
        <v>45809</v>
      </c>
      <c r="E72" s="157">
        <v>33</v>
      </c>
      <c r="F72" s="157">
        <v>33</v>
      </c>
      <c r="G72" s="157">
        <v>33</v>
      </c>
      <c r="H72" s="157">
        <v>33</v>
      </c>
      <c r="I72" s="157">
        <v>33</v>
      </c>
      <c r="J72" s="157">
        <v>33</v>
      </c>
      <c r="K72" s="157">
        <v>33</v>
      </c>
      <c r="L72" s="157">
        <v>33</v>
      </c>
      <c r="M72" s="157">
        <v>33</v>
      </c>
      <c r="N72" s="157">
        <v>33</v>
      </c>
      <c r="O72" s="157">
        <v>33</v>
      </c>
      <c r="P72" s="157">
        <v>33</v>
      </c>
      <c r="Q72" s="157">
        <v>33</v>
      </c>
      <c r="R72" s="157">
        <v>33</v>
      </c>
      <c r="S72" s="157">
        <v>33</v>
      </c>
      <c r="T72" s="157">
        <v>33</v>
      </c>
      <c r="U72" s="157">
        <v>33</v>
      </c>
      <c r="V72" s="157">
        <v>33</v>
      </c>
      <c r="W72" s="157">
        <v>33</v>
      </c>
      <c r="X72" s="157">
        <v>33</v>
      </c>
      <c r="Y72" s="157">
        <v>33</v>
      </c>
      <c r="Z72" s="157">
        <v>33</v>
      </c>
      <c r="AA72" s="157">
        <v>33</v>
      </c>
      <c r="AB72" s="157">
        <v>33</v>
      </c>
      <c r="AC72" s="157">
        <v>33</v>
      </c>
      <c r="AD72" s="157">
        <v>33</v>
      </c>
      <c r="AE72" s="157">
        <v>33</v>
      </c>
      <c r="AF72" s="157">
        <v>0</v>
      </c>
      <c r="AG72" s="157">
        <v>33</v>
      </c>
      <c r="AH72" s="157">
        <v>0</v>
      </c>
      <c r="AI72" s="157">
        <v>33</v>
      </c>
      <c r="AJ72" s="157">
        <v>33</v>
      </c>
      <c r="AK72" s="157">
        <v>33</v>
      </c>
      <c r="AL72" s="157">
        <v>33</v>
      </c>
      <c r="AM72" s="157">
        <v>33</v>
      </c>
      <c r="AN72" s="157">
        <v>33</v>
      </c>
      <c r="AO72" s="157">
        <v>33</v>
      </c>
      <c r="AP72" s="157">
        <v>33</v>
      </c>
      <c r="AQ72" s="157">
        <v>33</v>
      </c>
      <c r="AR72" s="157">
        <f t="shared" si="6"/>
        <v>1221</v>
      </c>
      <c r="AS72" s="185" t="s">
        <v>614</v>
      </c>
    </row>
    <row r="73" spans="1:45">
      <c r="A73" s="160">
        <f t="shared" si="5"/>
        <v>45815</v>
      </c>
      <c r="B73" s="157">
        <f>YEAR(Table7[[#This Row],[Date]])+IF(MONTH(Table7[[#This Row],[Date]])&gt;=4,1,0)</f>
        <v>2026</v>
      </c>
      <c r="C73" s="157">
        <f>YEAR(Table7[[#This Row],[Date]])</f>
        <v>2025</v>
      </c>
      <c r="D73" s="159">
        <f t="shared" si="4"/>
        <v>45809</v>
      </c>
      <c r="E73" s="157">
        <v>0</v>
      </c>
      <c r="F73" s="157">
        <v>0</v>
      </c>
      <c r="G73" s="157">
        <v>0</v>
      </c>
      <c r="H73" s="157">
        <v>0</v>
      </c>
      <c r="I73" s="157">
        <v>0</v>
      </c>
      <c r="J73" s="157">
        <v>0</v>
      </c>
      <c r="K73" s="157">
        <v>0</v>
      </c>
      <c r="L73" s="157">
        <v>0</v>
      </c>
      <c r="M73" s="157">
        <v>0</v>
      </c>
      <c r="N73" s="157">
        <v>0</v>
      </c>
      <c r="O73" s="157">
        <v>0</v>
      </c>
      <c r="P73" s="157">
        <v>0</v>
      </c>
      <c r="Q73" s="157">
        <v>0</v>
      </c>
      <c r="R73" s="157">
        <v>0</v>
      </c>
      <c r="S73" s="157">
        <v>0</v>
      </c>
      <c r="T73" s="157">
        <v>0</v>
      </c>
      <c r="U73" s="157">
        <v>0</v>
      </c>
      <c r="V73" s="157">
        <v>0</v>
      </c>
      <c r="W73" s="157">
        <v>0</v>
      </c>
      <c r="X73" s="157">
        <v>0</v>
      </c>
      <c r="Y73" s="157">
        <v>0</v>
      </c>
      <c r="Z73" s="157">
        <v>0</v>
      </c>
      <c r="AA73" s="157">
        <v>0</v>
      </c>
      <c r="AB73" s="157">
        <v>0</v>
      </c>
      <c r="AC73" s="157">
        <v>0</v>
      </c>
      <c r="AD73" s="157">
        <v>0</v>
      </c>
      <c r="AE73" s="157">
        <v>0</v>
      </c>
      <c r="AF73" s="157">
        <v>0</v>
      </c>
      <c r="AG73" s="157">
        <v>0</v>
      </c>
      <c r="AH73" s="157">
        <v>0</v>
      </c>
      <c r="AI73" s="157">
        <v>0</v>
      </c>
      <c r="AJ73" s="157">
        <v>0</v>
      </c>
      <c r="AK73" s="157">
        <v>0</v>
      </c>
      <c r="AL73" s="157">
        <v>0</v>
      </c>
      <c r="AM73" s="157">
        <v>0</v>
      </c>
      <c r="AN73" s="157">
        <v>0</v>
      </c>
      <c r="AO73" s="157">
        <v>0</v>
      </c>
      <c r="AP73" s="157">
        <v>0</v>
      </c>
      <c r="AQ73" s="157">
        <v>0</v>
      </c>
      <c r="AR73" s="157">
        <f t="shared" si="6"/>
        <v>0</v>
      </c>
      <c r="AS73" s="185" t="s">
        <v>614</v>
      </c>
    </row>
    <row r="74" spans="1:45">
      <c r="A74" s="160">
        <f t="shared" si="5"/>
        <v>45816</v>
      </c>
      <c r="B74" s="157">
        <f>YEAR(Table7[[#This Row],[Date]])+IF(MONTH(Table7[[#This Row],[Date]])&gt;=4,1,0)</f>
        <v>2026</v>
      </c>
      <c r="C74" s="157">
        <f>YEAR(Table7[[#This Row],[Date]])</f>
        <v>2025</v>
      </c>
      <c r="D74" s="159">
        <f t="shared" si="4"/>
        <v>45809</v>
      </c>
      <c r="E74" s="157">
        <v>33</v>
      </c>
      <c r="F74" s="157">
        <v>33</v>
      </c>
      <c r="G74" s="157">
        <v>33</v>
      </c>
      <c r="H74" s="157">
        <v>33</v>
      </c>
      <c r="I74" s="157">
        <v>33</v>
      </c>
      <c r="J74" s="157">
        <v>33</v>
      </c>
      <c r="K74" s="157">
        <v>33</v>
      </c>
      <c r="L74" s="157">
        <v>33</v>
      </c>
      <c r="M74" s="157">
        <v>33</v>
      </c>
      <c r="N74" s="157">
        <v>33</v>
      </c>
      <c r="O74" s="157">
        <v>33</v>
      </c>
      <c r="P74" s="157">
        <v>33</v>
      </c>
      <c r="Q74" s="157">
        <v>33</v>
      </c>
      <c r="R74" s="157">
        <v>33</v>
      </c>
      <c r="S74" s="157">
        <v>33</v>
      </c>
      <c r="T74" s="157">
        <v>33</v>
      </c>
      <c r="U74" s="157">
        <v>33</v>
      </c>
      <c r="V74" s="157">
        <v>33</v>
      </c>
      <c r="W74" s="157">
        <v>33</v>
      </c>
      <c r="X74" s="157">
        <v>33</v>
      </c>
      <c r="Y74" s="157">
        <v>33</v>
      </c>
      <c r="Z74" s="157">
        <v>33</v>
      </c>
      <c r="AA74" s="157">
        <v>33</v>
      </c>
      <c r="AB74" s="157">
        <v>33</v>
      </c>
      <c r="AC74" s="157">
        <v>33</v>
      </c>
      <c r="AD74" s="157">
        <v>33</v>
      </c>
      <c r="AE74" s="157">
        <v>33</v>
      </c>
      <c r="AF74" s="157">
        <v>0</v>
      </c>
      <c r="AG74" s="157">
        <v>33</v>
      </c>
      <c r="AH74" s="157">
        <v>0</v>
      </c>
      <c r="AI74" s="157">
        <v>33</v>
      </c>
      <c r="AJ74" s="157">
        <v>33</v>
      </c>
      <c r="AK74" s="157">
        <v>33</v>
      </c>
      <c r="AL74" s="157">
        <v>33</v>
      </c>
      <c r="AM74" s="157">
        <v>33</v>
      </c>
      <c r="AN74" s="157">
        <v>33</v>
      </c>
      <c r="AO74" s="157">
        <v>33</v>
      </c>
      <c r="AP74" s="157">
        <v>33</v>
      </c>
      <c r="AQ74" s="157">
        <v>33</v>
      </c>
      <c r="AR74" s="157">
        <f t="shared" si="6"/>
        <v>1221</v>
      </c>
      <c r="AS74" s="185" t="s">
        <v>614</v>
      </c>
    </row>
    <row r="75" spans="1:45">
      <c r="A75" s="160">
        <f t="shared" si="5"/>
        <v>45817</v>
      </c>
      <c r="B75" s="157">
        <f>YEAR(Table7[[#This Row],[Date]])+IF(MONTH(Table7[[#This Row],[Date]])&gt;=4,1,0)</f>
        <v>2026</v>
      </c>
      <c r="C75" s="157">
        <f>YEAR(Table7[[#This Row],[Date]])</f>
        <v>2025</v>
      </c>
      <c r="D75" s="159">
        <f t="shared" si="4"/>
        <v>45809</v>
      </c>
      <c r="E75" s="157">
        <v>0</v>
      </c>
      <c r="F75" s="157">
        <v>0</v>
      </c>
      <c r="G75" s="157">
        <v>0</v>
      </c>
      <c r="H75" s="157">
        <v>0</v>
      </c>
      <c r="I75" s="157">
        <v>0</v>
      </c>
      <c r="J75" s="157">
        <v>0</v>
      </c>
      <c r="K75" s="157">
        <v>0</v>
      </c>
      <c r="L75" s="157">
        <v>0</v>
      </c>
      <c r="M75" s="157">
        <v>0</v>
      </c>
      <c r="N75" s="157">
        <v>0</v>
      </c>
      <c r="O75" s="157">
        <v>0</v>
      </c>
      <c r="P75" s="157">
        <v>0</v>
      </c>
      <c r="Q75" s="157">
        <v>0</v>
      </c>
      <c r="R75" s="157">
        <v>0</v>
      </c>
      <c r="S75" s="157">
        <v>0</v>
      </c>
      <c r="T75" s="157">
        <v>0</v>
      </c>
      <c r="U75" s="157">
        <v>0</v>
      </c>
      <c r="V75" s="157">
        <v>0</v>
      </c>
      <c r="W75" s="157">
        <v>0</v>
      </c>
      <c r="X75" s="157">
        <v>0</v>
      </c>
      <c r="Y75" s="157">
        <v>0</v>
      </c>
      <c r="Z75" s="157">
        <v>0</v>
      </c>
      <c r="AA75" s="157">
        <v>0</v>
      </c>
      <c r="AB75" s="157">
        <v>0</v>
      </c>
      <c r="AC75" s="157">
        <v>0</v>
      </c>
      <c r="AD75" s="157">
        <v>0</v>
      </c>
      <c r="AE75" s="157">
        <v>0</v>
      </c>
      <c r="AF75" s="157">
        <v>0</v>
      </c>
      <c r="AG75" s="157">
        <v>0</v>
      </c>
      <c r="AH75" s="157">
        <v>0</v>
      </c>
      <c r="AI75" s="157">
        <v>0</v>
      </c>
      <c r="AJ75" s="157">
        <v>0</v>
      </c>
      <c r="AK75" s="157">
        <v>0</v>
      </c>
      <c r="AL75" s="157">
        <v>0</v>
      </c>
      <c r="AM75" s="157">
        <v>0</v>
      </c>
      <c r="AN75" s="157">
        <v>0</v>
      </c>
      <c r="AO75" s="157">
        <v>0</v>
      </c>
      <c r="AP75" s="157">
        <v>0</v>
      </c>
      <c r="AQ75" s="157">
        <v>0</v>
      </c>
      <c r="AR75" s="157">
        <f t="shared" si="6"/>
        <v>0</v>
      </c>
      <c r="AS75" s="185" t="s">
        <v>614</v>
      </c>
    </row>
    <row r="76" spans="1:45">
      <c r="A76" s="160">
        <f t="shared" si="5"/>
        <v>45818</v>
      </c>
      <c r="B76" s="157">
        <f>YEAR(Table7[[#This Row],[Date]])+IF(MONTH(Table7[[#This Row],[Date]])&gt;=4,1,0)</f>
        <v>2026</v>
      </c>
      <c r="C76" s="157">
        <f>YEAR(Table7[[#This Row],[Date]])</f>
        <v>2025</v>
      </c>
      <c r="D76" s="159">
        <f t="shared" si="4"/>
        <v>45809</v>
      </c>
      <c r="E76" s="157">
        <v>98</v>
      </c>
      <c r="F76" s="157">
        <v>98</v>
      </c>
      <c r="G76" s="157">
        <v>98</v>
      </c>
      <c r="H76" s="157">
        <v>98</v>
      </c>
      <c r="I76" s="157">
        <v>98</v>
      </c>
      <c r="J76" s="157">
        <v>98</v>
      </c>
      <c r="K76" s="157">
        <v>98</v>
      </c>
      <c r="L76" s="157">
        <v>98</v>
      </c>
      <c r="M76" s="157">
        <v>98</v>
      </c>
      <c r="N76" s="157">
        <v>98</v>
      </c>
      <c r="O76" s="157">
        <v>98</v>
      </c>
      <c r="P76" s="157">
        <v>98</v>
      </c>
      <c r="Q76" s="157">
        <v>98</v>
      </c>
      <c r="R76" s="157">
        <v>98</v>
      </c>
      <c r="S76" s="157">
        <v>98</v>
      </c>
      <c r="T76" s="157">
        <v>98</v>
      </c>
      <c r="U76" s="157">
        <v>98</v>
      </c>
      <c r="V76" s="157">
        <v>98</v>
      </c>
      <c r="W76" s="157">
        <v>98</v>
      </c>
      <c r="X76" s="157">
        <v>98</v>
      </c>
      <c r="Y76" s="157">
        <v>98</v>
      </c>
      <c r="Z76" s="157">
        <v>98</v>
      </c>
      <c r="AA76" s="157">
        <v>98</v>
      </c>
      <c r="AB76" s="157">
        <v>98</v>
      </c>
      <c r="AC76" s="157">
        <v>98</v>
      </c>
      <c r="AD76" s="157">
        <v>98</v>
      </c>
      <c r="AE76" s="157">
        <v>98</v>
      </c>
      <c r="AF76" s="157">
        <v>0</v>
      </c>
      <c r="AG76" s="157">
        <v>98</v>
      </c>
      <c r="AH76" s="157">
        <v>0</v>
      </c>
      <c r="AI76" s="157">
        <v>98</v>
      </c>
      <c r="AJ76" s="157">
        <v>98</v>
      </c>
      <c r="AK76" s="157">
        <v>98</v>
      </c>
      <c r="AL76" s="157">
        <v>98</v>
      </c>
      <c r="AM76" s="157">
        <v>98</v>
      </c>
      <c r="AN76" s="157">
        <v>98</v>
      </c>
      <c r="AO76" s="157">
        <v>98</v>
      </c>
      <c r="AP76" s="157">
        <v>98</v>
      </c>
      <c r="AQ76" s="157">
        <v>98</v>
      </c>
      <c r="AR76" s="157">
        <f t="shared" si="6"/>
        <v>3626</v>
      </c>
      <c r="AS76" s="185" t="s">
        <v>614</v>
      </c>
    </row>
    <row r="77" spans="1:45">
      <c r="A77" s="160">
        <f t="shared" si="5"/>
        <v>45819</v>
      </c>
      <c r="B77" s="157">
        <f>YEAR(Table7[[#This Row],[Date]])+IF(MONTH(Table7[[#This Row],[Date]])&gt;=4,1,0)</f>
        <v>2026</v>
      </c>
      <c r="C77" s="157">
        <f>YEAR(Table7[[#This Row],[Date]])</f>
        <v>2025</v>
      </c>
      <c r="D77" s="159">
        <f t="shared" si="4"/>
        <v>45809</v>
      </c>
      <c r="E77" s="157">
        <v>33</v>
      </c>
      <c r="F77" s="157">
        <v>33</v>
      </c>
      <c r="G77" s="157">
        <v>33</v>
      </c>
      <c r="H77" s="157">
        <v>33</v>
      </c>
      <c r="I77" s="157">
        <v>33</v>
      </c>
      <c r="J77" s="157">
        <v>33</v>
      </c>
      <c r="K77" s="157">
        <v>33</v>
      </c>
      <c r="L77" s="157">
        <v>33</v>
      </c>
      <c r="M77" s="157">
        <v>33</v>
      </c>
      <c r="N77" s="157">
        <v>33</v>
      </c>
      <c r="O77" s="157">
        <v>33</v>
      </c>
      <c r="P77" s="157">
        <v>33</v>
      </c>
      <c r="Q77" s="157">
        <v>33</v>
      </c>
      <c r="R77" s="157">
        <v>33</v>
      </c>
      <c r="S77" s="157">
        <v>33</v>
      </c>
      <c r="T77" s="157">
        <v>33</v>
      </c>
      <c r="U77" s="157">
        <v>33</v>
      </c>
      <c r="V77" s="157">
        <v>33</v>
      </c>
      <c r="W77" s="157">
        <v>33</v>
      </c>
      <c r="X77" s="157">
        <v>33</v>
      </c>
      <c r="Y77" s="157">
        <v>33</v>
      </c>
      <c r="Z77" s="157">
        <v>33</v>
      </c>
      <c r="AA77" s="157">
        <v>33</v>
      </c>
      <c r="AB77" s="157">
        <v>33</v>
      </c>
      <c r="AC77" s="157">
        <v>33</v>
      </c>
      <c r="AD77" s="157">
        <v>33</v>
      </c>
      <c r="AE77" s="157">
        <v>33</v>
      </c>
      <c r="AF77" s="157">
        <v>0</v>
      </c>
      <c r="AG77" s="157">
        <v>33</v>
      </c>
      <c r="AH77" s="157">
        <v>0</v>
      </c>
      <c r="AI77" s="157">
        <v>33</v>
      </c>
      <c r="AJ77" s="157">
        <v>33</v>
      </c>
      <c r="AK77" s="157">
        <v>33</v>
      </c>
      <c r="AL77" s="157">
        <v>33</v>
      </c>
      <c r="AM77" s="157">
        <v>33</v>
      </c>
      <c r="AN77" s="157">
        <v>33</v>
      </c>
      <c r="AO77" s="157">
        <v>33</v>
      </c>
      <c r="AP77" s="157">
        <v>33</v>
      </c>
      <c r="AQ77" s="157">
        <v>33</v>
      </c>
      <c r="AR77" s="157">
        <f t="shared" si="6"/>
        <v>1221</v>
      </c>
      <c r="AS77" s="185" t="s">
        <v>614</v>
      </c>
    </row>
    <row r="78" spans="1:45">
      <c r="A78" s="160">
        <f t="shared" si="5"/>
        <v>45820</v>
      </c>
      <c r="B78" s="157">
        <f>YEAR(Table7[[#This Row],[Date]])+IF(MONTH(Table7[[#This Row],[Date]])&gt;=4,1,0)</f>
        <v>2026</v>
      </c>
      <c r="C78" s="157">
        <f>YEAR(Table7[[#This Row],[Date]])</f>
        <v>2025</v>
      </c>
      <c r="D78" s="159">
        <f t="shared" si="4"/>
        <v>45809</v>
      </c>
      <c r="E78" s="157">
        <v>163</v>
      </c>
      <c r="F78" s="157">
        <v>163</v>
      </c>
      <c r="G78" s="157">
        <v>163</v>
      </c>
      <c r="H78" s="157">
        <v>163</v>
      </c>
      <c r="I78" s="157">
        <v>163</v>
      </c>
      <c r="J78" s="157">
        <v>163</v>
      </c>
      <c r="K78" s="157">
        <v>163</v>
      </c>
      <c r="L78" s="157">
        <v>163</v>
      </c>
      <c r="M78" s="157">
        <v>163</v>
      </c>
      <c r="N78" s="157">
        <v>163</v>
      </c>
      <c r="O78" s="157">
        <v>163</v>
      </c>
      <c r="P78" s="157">
        <v>163</v>
      </c>
      <c r="Q78" s="157">
        <v>163</v>
      </c>
      <c r="R78" s="157">
        <v>163</v>
      </c>
      <c r="S78" s="157">
        <v>163</v>
      </c>
      <c r="T78" s="157">
        <v>163</v>
      </c>
      <c r="U78" s="157">
        <v>163</v>
      </c>
      <c r="V78" s="157">
        <v>163</v>
      </c>
      <c r="W78" s="157">
        <v>163</v>
      </c>
      <c r="X78" s="157">
        <v>163</v>
      </c>
      <c r="Y78" s="157">
        <v>163</v>
      </c>
      <c r="Z78" s="157">
        <v>163</v>
      </c>
      <c r="AA78" s="157">
        <v>163</v>
      </c>
      <c r="AB78" s="157">
        <v>163</v>
      </c>
      <c r="AC78" s="157">
        <v>163</v>
      </c>
      <c r="AD78" s="157">
        <v>163</v>
      </c>
      <c r="AE78" s="157">
        <v>163</v>
      </c>
      <c r="AF78" s="157">
        <v>0</v>
      </c>
      <c r="AG78" s="157">
        <v>163</v>
      </c>
      <c r="AH78" s="157">
        <v>0</v>
      </c>
      <c r="AI78" s="157">
        <v>163</v>
      </c>
      <c r="AJ78" s="157">
        <v>163</v>
      </c>
      <c r="AK78" s="157">
        <v>163</v>
      </c>
      <c r="AL78" s="157">
        <v>163</v>
      </c>
      <c r="AM78" s="157">
        <v>163</v>
      </c>
      <c r="AN78" s="157">
        <v>163</v>
      </c>
      <c r="AO78" s="157">
        <v>163</v>
      </c>
      <c r="AP78" s="157">
        <v>163</v>
      </c>
      <c r="AQ78" s="157">
        <v>163</v>
      </c>
      <c r="AR78" s="157">
        <f t="shared" si="6"/>
        <v>6031</v>
      </c>
      <c r="AS78" s="185" t="s">
        <v>614</v>
      </c>
    </row>
    <row r="79" spans="1:45">
      <c r="A79" s="160">
        <f t="shared" si="5"/>
        <v>45821</v>
      </c>
      <c r="B79" s="157">
        <f>YEAR(Table7[[#This Row],[Date]])+IF(MONTH(Table7[[#This Row],[Date]])&gt;=4,1,0)</f>
        <v>2026</v>
      </c>
      <c r="C79" s="157">
        <f>YEAR(Table7[[#This Row],[Date]])</f>
        <v>2025</v>
      </c>
      <c r="D79" s="159">
        <f t="shared" si="4"/>
        <v>45809</v>
      </c>
      <c r="E79" s="157">
        <v>390</v>
      </c>
      <c r="F79" s="157">
        <v>390</v>
      </c>
      <c r="G79" s="157">
        <v>390</v>
      </c>
      <c r="H79" s="157">
        <v>390</v>
      </c>
      <c r="I79" s="157">
        <v>390</v>
      </c>
      <c r="J79" s="157">
        <v>390</v>
      </c>
      <c r="K79" s="157">
        <v>390</v>
      </c>
      <c r="L79" s="157">
        <v>390</v>
      </c>
      <c r="M79" s="157">
        <v>390</v>
      </c>
      <c r="N79" s="157">
        <v>390</v>
      </c>
      <c r="O79" s="157">
        <v>390</v>
      </c>
      <c r="P79" s="157">
        <v>390</v>
      </c>
      <c r="Q79" s="157">
        <v>390</v>
      </c>
      <c r="R79" s="157">
        <v>390</v>
      </c>
      <c r="S79" s="157">
        <v>390</v>
      </c>
      <c r="T79" s="157">
        <v>390</v>
      </c>
      <c r="U79" s="157">
        <v>390</v>
      </c>
      <c r="V79" s="157">
        <v>390</v>
      </c>
      <c r="W79" s="157">
        <v>390</v>
      </c>
      <c r="X79" s="157">
        <v>390</v>
      </c>
      <c r="Y79" s="157">
        <v>390</v>
      </c>
      <c r="Z79" s="157">
        <v>390</v>
      </c>
      <c r="AA79" s="157">
        <v>390</v>
      </c>
      <c r="AB79" s="157">
        <v>390</v>
      </c>
      <c r="AC79" s="157">
        <v>390</v>
      </c>
      <c r="AD79" s="157">
        <v>390</v>
      </c>
      <c r="AE79" s="157">
        <v>390</v>
      </c>
      <c r="AF79" s="157">
        <v>0</v>
      </c>
      <c r="AG79" s="157">
        <v>390</v>
      </c>
      <c r="AH79" s="157">
        <v>0</v>
      </c>
      <c r="AI79" s="157">
        <v>390</v>
      </c>
      <c r="AJ79" s="157">
        <v>390</v>
      </c>
      <c r="AK79" s="157">
        <v>390</v>
      </c>
      <c r="AL79" s="157">
        <v>390</v>
      </c>
      <c r="AM79" s="157">
        <v>390</v>
      </c>
      <c r="AN79" s="157">
        <v>390</v>
      </c>
      <c r="AO79" s="157">
        <v>390</v>
      </c>
      <c r="AP79" s="157">
        <v>390</v>
      </c>
      <c r="AQ79" s="157">
        <v>390</v>
      </c>
      <c r="AR79" s="157">
        <f t="shared" si="6"/>
        <v>14430</v>
      </c>
      <c r="AS79" s="185" t="s">
        <v>614</v>
      </c>
    </row>
    <row r="80" spans="1:45">
      <c r="A80" s="160">
        <f t="shared" si="5"/>
        <v>45822</v>
      </c>
      <c r="B80" s="157">
        <f>YEAR(Table7[[#This Row],[Date]])+IF(MONTH(Table7[[#This Row],[Date]])&gt;=4,1,0)</f>
        <v>2026</v>
      </c>
      <c r="C80" s="157">
        <f>YEAR(Table7[[#This Row],[Date]])</f>
        <v>2025</v>
      </c>
      <c r="D80" s="159">
        <f t="shared" si="4"/>
        <v>45809</v>
      </c>
      <c r="E80" s="157">
        <v>486</v>
      </c>
      <c r="F80" s="157">
        <v>486</v>
      </c>
      <c r="G80" s="157">
        <v>486</v>
      </c>
      <c r="H80" s="157">
        <v>486</v>
      </c>
      <c r="I80" s="157">
        <v>486</v>
      </c>
      <c r="J80" s="157">
        <v>486</v>
      </c>
      <c r="K80" s="157">
        <v>486</v>
      </c>
      <c r="L80" s="157">
        <v>486</v>
      </c>
      <c r="M80" s="157">
        <v>486</v>
      </c>
      <c r="N80" s="157">
        <v>486</v>
      </c>
      <c r="O80" s="157">
        <v>486</v>
      </c>
      <c r="P80" s="157">
        <v>486</v>
      </c>
      <c r="Q80" s="157">
        <v>486</v>
      </c>
      <c r="R80" s="157">
        <v>486</v>
      </c>
      <c r="S80" s="157">
        <v>486</v>
      </c>
      <c r="T80" s="157">
        <v>486</v>
      </c>
      <c r="U80" s="157">
        <v>0</v>
      </c>
      <c r="V80" s="157">
        <v>486</v>
      </c>
      <c r="W80" s="157">
        <v>486</v>
      </c>
      <c r="X80" s="157">
        <v>486</v>
      </c>
      <c r="Y80" s="157">
        <v>486</v>
      </c>
      <c r="Z80" s="157">
        <v>486</v>
      </c>
      <c r="AA80" s="157">
        <v>486</v>
      </c>
      <c r="AB80" s="157">
        <v>486</v>
      </c>
      <c r="AC80" s="157">
        <v>486</v>
      </c>
      <c r="AD80" s="157">
        <v>486</v>
      </c>
      <c r="AE80" s="157">
        <v>486</v>
      </c>
      <c r="AF80" s="157">
        <v>0</v>
      </c>
      <c r="AG80" s="157">
        <v>486</v>
      </c>
      <c r="AH80" s="157">
        <v>0</v>
      </c>
      <c r="AI80" s="157">
        <v>486</v>
      </c>
      <c r="AJ80" s="157">
        <v>486</v>
      </c>
      <c r="AK80" s="157">
        <v>486</v>
      </c>
      <c r="AL80" s="157">
        <v>486</v>
      </c>
      <c r="AM80" s="157">
        <v>486</v>
      </c>
      <c r="AN80" s="157">
        <v>486</v>
      </c>
      <c r="AO80" s="157">
        <v>486</v>
      </c>
      <c r="AP80" s="157">
        <v>486</v>
      </c>
      <c r="AQ80" s="157">
        <v>486</v>
      </c>
      <c r="AR80" s="157">
        <f t="shared" si="6"/>
        <v>17496</v>
      </c>
      <c r="AS80" s="185" t="s">
        <v>614</v>
      </c>
    </row>
    <row r="81" spans="1:45">
      <c r="A81" s="160">
        <f t="shared" si="5"/>
        <v>45823</v>
      </c>
      <c r="B81" s="157">
        <f>YEAR(Table7[[#This Row],[Date]])+IF(MONTH(Table7[[#This Row],[Date]])&gt;=4,1,0)</f>
        <v>2026</v>
      </c>
      <c r="C81" s="157">
        <f>YEAR(Table7[[#This Row],[Date]])</f>
        <v>2025</v>
      </c>
      <c r="D81" s="159">
        <f t="shared" si="4"/>
        <v>45809</v>
      </c>
      <c r="E81" s="157">
        <v>65</v>
      </c>
      <c r="F81" s="157">
        <v>65</v>
      </c>
      <c r="G81" s="157">
        <v>65</v>
      </c>
      <c r="H81" s="157">
        <v>65</v>
      </c>
      <c r="I81" s="157">
        <v>65</v>
      </c>
      <c r="J81" s="157">
        <v>65</v>
      </c>
      <c r="K81" s="157">
        <v>65</v>
      </c>
      <c r="L81" s="157">
        <v>65</v>
      </c>
      <c r="M81" s="157">
        <v>65</v>
      </c>
      <c r="N81" s="157">
        <v>65</v>
      </c>
      <c r="O81" s="157">
        <v>65</v>
      </c>
      <c r="P81" s="157">
        <v>65</v>
      </c>
      <c r="Q81" s="157">
        <v>65</v>
      </c>
      <c r="R81" s="157">
        <v>65</v>
      </c>
      <c r="S81" s="157">
        <v>65</v>
      </c>
      <c r="T81" s="157">
        <v>65</v>
      </c>
      <c r="U81" s="157">
        <v>0</v>
      </c>
      <c r="V81" s="157">
        <v>65</v>
      </c>
      <c r="W81" s="157">
        <v>65</v>
      </c>
      <c r="X81" s="157">
        <v>65</v>
      </c>
      <c r="Y81" s="157">
        <v>65</v>
      </c>
      <c r="Z81" s="157">
        <v>65</v>
      </c>
      <c r="AA81" s="157">
        <v>65</v>
      </c>
      <c r="AB81" s="157">
        <v>65</v>
      </c>
      <c r="AC81" s="157">
        <v>65</v>
      </c>
      <c r="AD81" s="157">
        <v>65</v>
      </c>
      <c r="AE81" s="157">
        <v>65</v>
      </c>
      <c r="AF81" s="157">
        <v>0</v>
      </c>
      <c r="AG81" s="157">
        <v>65</v>
      </c>
      <c r="AH81" s="157">
        <v>0</v>
      </c>
      <c r="AI81" s="157">
        <v>65</v>
      </c>
      <c r="AJ81" s="157">
        <v>65</v>
      </c>
      <c r="AK81" s="157">
        <v>65</v>
      </c>
      <c r="AL81" s="157">
        <v>65</v>
      </c>
      <c r="AM81" s="157">
        <v>65</v>
      </c>
      <c r="AN81" s="157">
        <v>65</v>
      </c>
      <c r="AO81" s="157">
        <v>65</v>
      </c>
      <c r="AP81" s="157">
        <v>65</v>
      </c>
      <c r="AQ81" s="157">
        <v>65</v>
      </c>
      <c r="AR81" s="157">
        <f t="shared" si="6"/>
        <v>2340</v>
      </c>
      <c r="AS81" s="185" t="s">
        <v>614</v>
      </c>
    </row>
    <row r="82" spans="1:45">
      <c r="A82" s="160">
        <f t="shared" si="5"/>
        <v>45824</v>
      </c>
      <c r="B82" s="157">
        <f>YEAR(Table7[[#This Row],[Date]])+IF(MONTH(Table7[[#This Row],[Date]])&gt;=4,1,0)</f>
        <v>2026</v>
      </c>
      <c r="C82" s="157">
        <f>YEAR(Table7[[#This Row],[Date]])</f>
        <v>2025</v>
      </c>
      <c r="D82" s="159">
        <f t="shared" si="4"/>
        <v>45809</v>
      </c>
      <c r="E82" s="157">
        <v>32</v>
      </c>
      <c r="F82" s="157">
        <v>32</v>
      </c>
      <c r="G82" s="157">
        <v>32</v>
      </c>
      <c r="H82" s="157">
        <v>32</v>
      </c>
      <c r="I82" s="157">
        <v>32</v>
      </c>
      <c r="J82" s="157">
        <v>32</v>
      </c>
      <c r="K82" s="157">
        <v>32</v>
      </c>
      <c r="L82" s="157">
        <v>32</v>
      </c>
      <c r="M82" s="157">
        <v>32</v>
      </c>
      <c r="N82" s="157">
        <v>32</v>
      </c>
      <c r="O82" s="157">
        <v>32</v>
      </c>
      <c r="P82" s="157">
        <v>32</v>
      </c>
      <c r="Q82" s="157">
        <v>32</v>
      </c>
      <c r="R82" s="157">
        <v>32</v>
      </c>
      <c r="S82" s="157">
        <v>32</v>
      </c>
      <c r="T82" s="157">
        <v>32</v>
      </c>
      <c r="U82" s="157">
        <v>0</v>
      </c>
      <c r="V82" s="157">
        <v>32</v>
      </c>
      <c r="W82" s="157">
        <v>32</v>
      </c>
      <c r="X82" s="157">
        <v>32</v>
      </c>
      <c r="Y82" s="157">
        <v>32</v>
      </c>
      <c r="Z82" s="157">
        <v>32</v>
      </c>
      <c r="AA82" s="157">
        <v>32</v>
      </c>
      <c r="AB82" s="157">
        <v>32</v>
      </c>
      <c r="AC82" s="157">
        <v>32</v>
      </c>
      <c r="AD82" s="157">
        <v>32</v>
      </c>
      <c r="AE82" s="157">
        <v>32</v>
      </c>
      <c r="AF82" s="157">
        <v>0</v>
      </c>
      <c r="AG82" s="157">
        <v>32</v>
      </c>
      <c r="AH82" s="157">
        <v>0</v>
      </c>
      <c r="AI82" s="157">
        <v>32</v>
      </c>
      <c r="AJ82" s="157">
        <v>32</v>
      </c>
      <c r="AK82" s="157">
        <v>32</v>
      </c>
      <c r="AL82" s="157">
        <v>32</v>
      </c>
      <c r="AM82" s="157">
        <v>32</v>
      </c>
      <c r="AN82" s="157">
        <v>32</v>
      </c>
      <c r="AO82" s="157">
        <v>32</v>
      </c>
      <c r="AP82" s="157">
        <v>32</v>
      </c>
      <c r="AQ82" s="157">
        <v>32</v>
      </c>
      <c r="AR82" s="157">
        <f t="shared" si="6"/>
        <v>1152</v>
      </c>
      <c r="AS82" s="185" t="s">
        <v>614</v>
      </c>
    </row>
    <row r="83" spans="1:45">
      <c r="A83" s="160">
        <f t="shared" si="5"/>
        <v>45825</v>
      </c>
      <c r="B83" s="157">
        <f>YEAR(Table7[[#This Row],[Date]])+IF(MONTH(Table7[[#This Row],[Date]])&gt;=4,1,0)</f>
        <v>2026</v>
      </c>
      <c r="C83" s="157">
        <f>YEAR(Table7[[#This Row],[Date]])</f>
        <v>2025</v>
      </c>
      <c r="D83" s="159">
        <f t="shared" si="4"/>
        <v>45809</v>
      </c>
      <c r="E83" s="157">
        <v>0</v>
      </c>
      <c r="F83" s="157">
        <v>0</v>
      </c>
      <c r="G83" s="157">
        <v>0</v>
      </c>
      <c r="H83" s="157">
        <v>0</v>
      </c>
      <c r="I83" s="157">
        <v>0</v>
      </c>
      <c r="J83" s="157">
        <v>0</v>
      </c>
      <c r="K83" s="157">
        <v>0</v>
      </c>
      <c r="L83" s="157">
        <v>0</v>
      </c>
      <c r="M83" s="157">
        <v>0</v>
      </c>
      <c r="N83" s="157">
        <v>0</v>
      </c>
      <c r="O83" s="157">
        <v>0</v>
      </c>
      <c r="P83" s="157">
        <v>0</v>
      </c>
      <c r="Q83" s="157">
        <v>0</v>
      </c>
      <c r="R83" s="157">
        <v>0</v>
      </c>
      <c r="S83" s="157">
        <v>0</v>
      </c>
      <c r="T83" s="157">
        <v>0</v>
      </c>
      <c r="U83" s="157">
        <v>0</v>
      </c>
      <c r="V83" s="157">
        <v>0</v>
      </c>
      <c r="W83" s="157">
        <v>0</v>
      </c>
      <c r="X83" s="157">
        <v>0</v>
      </c>
      <c r="Y83" s="157">
        <v>0</v>
      </c>
      <c r="Z83" s="157">
        <v>0</v>
      </c>
      <c r="AA83" s="157">
        <v>0</v>
      </c>
      <c r="AB83" s="157">
        <v>0</v>
      </c>
      <c r="AC83" s="157">
        <v>0</v>
      </c>
      <c r="AD83" s="157">
        <v>0</v>
      </c>
      <c r="AE83" s="157">
        <v>0</v>
      </c>
      <c r="AF83" s="157">
        <v>0</v>
      </c>
      <c r="AG83" s="157">
        <v>0</v>
      </c>
      <c r="AH83" s="157">
        <v>0</v>
      </c>
      <c r="AI83" s="157">
        <v>0</v>
      </c>
      <c r="AJ83" s="157">
        <v>0</v>
      </c>
      <c r="AK83" s="157">
        <v>0</v>
      </c>
      <c r="AL83" s="157">
        <v>0</v>
      </c>
      <c r="AM83" s="157">
        <v>0</v>
      </c>
      <c r="AN83" s="157">
        <v>0</v>
      </c>
      <c r="AO83" s="157">
        <v>0</v>
      </c>
      <c r="AP83" s="157">
        <v>0</v>
      </c>
      <c r="AQ83" s="157">
        <v>0</v>
      </c>
      <c r="AR83" s="157">
        <f t="shared" si="6"/>
        <v>0</v>
      </c>
      <c r="AS83" s="185" t="s">
        <v>614</v>
      </c>
    </row>
    <row r="84" spans="1:45">
      <c r="A84" s="160">
        <f t="shared" si="5"/>
        <v>45826</v>
      </c>
      <c r="B84" s="157">
        <f>YEAR(Table7[[#This Row],[Date]])+IF(MONTH(Table7[[#This Row],[Date]])&gt;=4,1,0)</f>
        <v>2026</v>
      </c>
      <c r="C84" s="157">
        <f>YEAR(Table7[[#This Row],[Date]])</f>
        <v>2025</v>
      </c>
      <c r="D84" s="159">
        <f t="shared" si="4"/>
        <v>45809</v>
      </c>
      <c r="E84" s="157">
        <v>0</v>
      </c>
      <c r="F84" s="157">
        <v>0</v>
      </c>
      <c r="G84" s="157">
        <v>0</v>
      </c>
      <c r="H84" s="157">
        <v>0</v>
      </c>
      <c r="I84" s="157">
        <v>0</v>
      </c>
      <c r="J84" s="157">
        <v>0</v>
      </c>
      <c r="K84" s="157">
        <v>0</v>
      </c>
      <c r="L84" s="157">
        <v>0</v>
      </c>
      <c r="M84" s="157">
        <v>0</v>
      </c>
      <c r="N84" s="157">
        <v>0</v>
      </c>
      <c r="O84" s="157">
        <v>0</v>
      </c>
      <c r="P84" s="157">
        <v>0</v>
      </c>
      <c r="Q84" s="157">
        <v>0</v>
      </c>
      <c r="R84" s="157">
        <v>0</v>
      </c>
      <c r="S84" s="157">
        <v>0</v>
      </c>
      <c r="T84" s="157">
        <v>0</v>
      </c>
      <c r="U84" s="157">
        <v>0</v>
      </c>
      <c r="V84" s="157">
        <v>0</v>
      </c>
      <c r="W84" s="157">
        <v>0</v>
      </c>
      <c r="X84" s="157">
        <v>0</v>
      </c>
      <c r="Y84" s="157">
        <v>0</v>
      </c>
      <c r="Z84" s="157">
        <v>0</v>
      </c>
      <c r="AA84" s="157">
        <v>0</v>
      </c>
      <c r="AB84" s="157">
        <v>0</v>
      </c>
      <c r="AC84" s="157">
        <v>0</v>
      </c>
      <c r="AD84" s="157">
        <v>0</v>
      </c>
      <c r="AE84" s="157">
        <v>0</v>
      </c>
      <c r="AF84" s="157">
        <v>0</v>
      </c>
      <c r="AG84" s="157">
        <v>0</v>
      </c>
      <c r="AH84" s="157">
        <v>0</v>
      </c>
      <c r="AI84" s="157">
        <v>0</v>
      </c>
      <c r="AJ84" s="157">
        <v>0</v>
      </c>
      <c r="AK84" s="157">
        <v>0</v>
      </c>
      <c r="AL84" s="157">
        <v>0</v>
      </c>
      <c r="AM84" s="157">
        <v>0</v>
      </c>
      <c r="AN84" s="157">
        <v>0</v>
      </c>
      <c r="AO84" s="157">
        <v>0</v>
      </c>
      <c r="AP84" s="157">
        <v>0</v>
      </c>
      <c r="AQ84" s="157">
        <v>0</v>
      </c>
      <c r="AR84" s="157">
        <f t="shared" si="6"/>
        <v>0</v>
      </c>
      <c r="AS84" s="185" t="s">
        <v>614</v>
      </c>
    </row>
    <row r="85" spans="1:45">
      <c r="A85" s="160">
        <f t="shared" si="5"/>
        <v>45827</v>
      </c>
      <c r="B85" s="157">
        <f>YEAR(Table7[[#This Row],[Date]])+IF(MONTH(Table7[[#This Row],[Date]])&gt;=4,1,0)</f>
        <v>2026</v>
      </c>
      <c r="C85" s="157">
        <f>YEAR(Table7[[#This Row],[Date]])</f>
        <v>2025</v>
      </c>
      <c r="D85" s="159">
        <f t="shared" si="4"/>
        <v>45809</v>
      </c>
      <c r="E85" s="157">
        <v>0</v>
      </c>
      <c r="F85" s="157">
        <v>0</v>
      </c>
      <c r="G85" s="157">
        <v>0</v>
      </c>
      <c r="H85" s="157">
        <v>0</v>
      </c>
      <c r="I85" s="157">
        <v>0</v>
      </c>
      <c r="J85" s="157">
        <v>0</v>
      </c>
      <c r="K85" s="157">
        <v>0</v>
      </c>
      <c r="L85" s="157">
        <v>0</v>
      </c>
      <c r="M85" s="157">
        <v>0</v>
      </c>
      <c r="N85" s="157">
        <v>0</v>
      </c>
      <c r="O85" s="157">
        <v>0</v>
      </c>
      <c r="P85" s="157">
        <v>0</v>
      </c>
      <c r="Q85" s="157">
        <v>0</v>
      </c>
      <c r="R85" s="157">
        <v>0</v>
      </c>
      <c r="S85" s="157">
        <v>0</v>
      </c>
      <c r="T85" s="157">
        <v>0</v>
      </c>
      <c r="U85" s="157">
        <v>0</v>
      </c>
      <c r="V85" s="157">
        <v>0</v>
      </c>
      <c r="W85" s="157">
        <v>0</v>
      </c>
      <c r="X85" s="157">
        <v>0</v>
      </c>
      <c r="Y85" s="157">
        <v>0</v>
      </c>
      <c r="Z85" s="157">
        <v>0</v>
      </c>
      <c r="AA85" s="157">
        <v>0</v>
      </c>
      <c r="AB85" s="157">
        <v>0</v>
      </c>
      <c r="AC85" s="157">
        <v>0</v>
      </c>
      <c r="AD85" s="157">
        <v>0</v>
      </c>
      <c r="AE85" s="157">
        <v>0</v>
      </c>
      <c r="AF85" s="157">
        <v>0</v>
      </c>
      <c r="AG85" s="157">
        <v>0</v>
      </c>
      <c r="AH85" s="157">
        <v>0</v>
      </c>
      <c r="AI85" s="157">
        <v>0</v>
      </c>
      <c r="AJ85" s="157">
        <v>0</v>
      </c>
      <c r="AK85" s="157">
        <v>0</v>
      </c>
      <c r="AL85" s="157">
        <v>0</v>
      </c>
      <c r="AM85" s="157">
        <v>0</v>
      </c>
      <c r="AN85" s="157">
        <v>0</v>
      </c>
      <c r="AO85" s="157">
        <v>0</v>
      </c>
      <c r="AP85" s="157">
        <v>0</v>
      </c>
      <c r="AQ85" s="157">
        <v>0</v>
      </c>
      <c r="AR85" s="157">
        <f t="shared" si="6"/>
        <v>0</v>
      </c>
      <c r="AS85" s="185" t="s">
        <v>614</v>
      </c>
    </row>
    <row r="86" spans="1:45">
      <c r="A86" s="160">
        <f t="shared" si="5"/>
        <v>45828</v>
      </c>
      <c r="B86" s="157">
        <f>YEAR(Table7[[#This Row],[Date]])+IF(MONTH(Table7[[#This Row],[Date]])&gt;=4,1,0)</f>
        <v>2026</v>
      </c>
      <c r="C86" s="157">
        <f>YEAR(Table7[[#This Row],[Date]])</f>
        <v>2025</v>
      </c>
      <c r="D86" s="159">
        <f t="shared" si="4"/>
        <v>45809</v>
      </c>
      <c r="E86" s="157">
        <v>0</v>
      </c>
      <c r="F86" s="157">
        <v>0</v>
      </c>
      <c r="G86" s="157">
        <v>0</v>
      </c>
      <c r="H86" s="157">
        <v>0</v>
      </c>
      <c r="I86" s="157">
        <v>0</v>
      </c>
      <c r="J86" s="157">
        <v>0</v>
      </c>
      <c r="K86" s="157">
        <v>0</v>
      </c>
      <c r="L86" s="157">
        <v>0</v>
      </c>
      <c r="M86" s="157">
        <v>0</v>
      </c>
      <c r="N86" s="157">
        <v>0</v>
      </c>
      <c r="O86" s="157">
        <v>0</v>
      </c>
      <c r="P86" s="157">
        <v>0</v>
      </c>
      <c r="Q86" s="157">
        <v>0</v>
      </c>
      <c r="R86" s="157">
        <v>0</v>
      </c>
      <c r="S86" s="157">
        <v>0</v>
      </c>
      <c r="T86" s="157">
        <v>0</v>
      </c>
      <c r="U86" s="157">
        <v>0</v>
      </c>
      <c r="V86" s="157">
        <v>0</v>
      </c>
      <c r="W86" s="157">
        <v>0</v>
      </c>
      <c r="X86" s="157">
        <v>0</v>
      </c>
      <c r="Y86" s="157">
        <v>0</v>
      </c>
      <c r="Z86" s="157">
        <v>0</v>
      </c>
      <c r="AA86" s="157">
        <v>0</v>
      </c>
      <c r="AB86" s="157">
        <v>0</v>
      </c>
      <c r="AC86" s="157">
        <v>0</v>
      </c>
      <c r="AD86" s="157">
        <v>0</v>
      </c>
      <c r="AE86" s="157">
        <v>0</v>
      </c>
      <c r="AF86" s="157">
        <v>0</v>
      </c>
      <c r="AG86" s="157">
        <v>0</v>
      </c>
      <c r="AH86" s="157">
        <v>0</v>
      </c>
      <c r="AI86" s="157">
        <v>0</v>
      </c>
      <c r="AJ86" s="157">
        <v>0</v>
      </c>
      <c r="AK86" s="157">
        <v>0</v>
      </c>
      <c r="AL86" s="157">
        <v>0</v>
      </c>
      <c r="AM86" s="157">
        <v>0</v>
      </c>
      <c r="AN86" s="157">
        <v>0</v>
      </c>
      <c r="AO86" s="157">
        <v>0</v>
      </c>
      <c r="AP86" s="157">
        <v>0</v>
      </c>
      <c r="AQ86" s="157">
        <v>0</v>
      </c>
      <c r="AR86" s="157">
        <f t="shared" si="6"/>
        <v>0</v>
      </c>
      <c r="AS86" s="185" t="s">
        <v>614</v>
      </c>
    </row>
    <row r="87" spans="1:45">
      <c r="A87" s="160">
        <f t="shared" si="5"/>
        <v>45829</v>
      </c>
      <c r="B87" s="157">
        <f>YEAR(Table7[[#This Row],[Date]])+IF(MONTH(Table7[[#This Row],[Date]])&gt;=4,1,0)</f>
        <v>2026</v>
      </c>
      <c r="C87" s="157">
        <f>YEAR(Table7[[#This Row],[Date]])</f>
        <v>2025</v>
      </c>
      <c r="D87" s="159">
        <f t="shared" si="4"/>
        <v>45809</v>
      </c>
      <c r="E87" s="157">
        <v>0</v>
      </c>
      <c r="F87" s="157">
        <v>0</v>
      </c>
      <c r="G87" s="157">
        <v>0</v>
      </c>
      <c r="H87" s="157">
        <v>0</v>
      </c>
      <c r="I87" s="157">
        <v>0</v>
      </c>
      <c r="J87" s="157">
        <v>0</v>
      </c>
      <c r="K87" s="157">
        <v>0</v>
      </c>
      <c r="L87" s="157">
        <v>0</v>
      </c>
      <c r="M87" s="157">
        <v>0</v>
      </c>
      <c r="N87" s="157">
        <v>0</v>
      </c>
      <c r="O87" s="157">
        <v>0</v>
      </c>
      <c r="P87" s="157">
        <v>0</v>
      </c>
      <c r="Q87" s="157">
        <v>0</v>
      </c>
      <c r="R87" s="157">
        <v>0</v>
      </c>
      <c r="S87" s="157">
        <v>0</v>
      </c>
      <c r="T87" s="157">
        <v>0</v>
      </c>
      <c r="U87" s="157">
        <v>0</v>
      </c>
      <c r="V87" s="157">
        <v>0</v>
      </c>
      <c r="W87" s="157">
        <v>0</v>
      </c>
      <c r="X87" s="157">
        <v>0</v>
      </c>
      <c r="Y87" s="157">
        <v>0</v>
      </c>
      <c r="Z87" s="157">
        <v>0</v>
      </c>
      <c r="AA87" s="157">
        <v>0</v>
      </c>
      <c r="AB87" s="157">
        <v>0</v>
      </c>
      <c r="AC87" s="157">
        <v>0</v>
      </c>
      <c r="AD87" s="157">
        <v>0</v>
      </c>
      <c r="AE87" s="157">
        <v>0</v>
      </c>
      <c r="AF87" s="157">
        <v>0</v>
      </c>
      <c r="AG87" s="157">
        <v>0</v>
      </c>
      <c r="AH87" s="157">
        <v>0</v>
      </c>
      <c r="AI87" s="157">
        <v>0</v>
      </c>
      <c r="AJ87" s="157">
        <v>0</v>
      </c>
      <c r="AK87" s="157">
        <v>0</v>
      </c>
      <c r="AL87" s="157">
        <v>0</v>
      </c>
      <c r="AM87" s="157">
        <v>0</v>
      </c>
      <c r="AN87" s="157">
        <v>0</v>
      </c>
      <c r="AO87" s="157">
        <v>0</v>
      </c>
      <c r="AP87" s="157">
        <v>0</v>
      </c>
      <c r="AQ87" s="157">
        <v>0</v>
      </c>
      <c r="AR87" s="157">
        <f t="shared" si="6"/>
        <v>0</v>
      </c>
      <c r="AS87" s="185" t="s">
        <v>614</v>
      </c>
    </row>
    <row r="88" spans="1:45">
      <c r="A88" s="160">
        <f t="shared" si="5"/>
        <v>45830</v>
      </c>
      <c r="B88" s="157">
        <f>YEAR(Table7[[#This Row],[Date]])+IF(MONTH(Table7[[#This Row],[Date]])&gt;=4,1,0)</f>
        <v>2026</v>
      </c>
      <c r="C88" s="157">
        <f>YEAR(Table7[[#This Row],[Date]])</f>
        <v>2025</v>
      </c>
      <c r="D88" s="159">
        <f t="shared" si="4"/>
        <v>45809</v>
      </c>
      <c r="E88" s="157">
        <v>0</v>
      </c>
      <c r="F88" s="157">
        <v>0</v>
      </c>
      <c r="G88" s="157">
        <v>0</v>
      </c>
      <c r="H88" s="157">
        <v>0</v>
      </c>
      <c r="I88" s="157">
        <v>0</v>
      </c>
      <c r="J88" s="157">
        <v>0</v>
      </c>
      <c r="K88" s="157">
        <v>0</v>
      </c>
      <c r="L88" s="157">
        <v>0</v>
      </c>
      <c r="M88" s="157">
        <v>0</v>
      </c>
      <c r="N88" s="157">
        <v>0</v>
      </c>
      <c r="O88" s="157">
        <v>0</v>
      </c>
      <c r="P88" s="157">
        <v>0</v>
      </c>
      <c r="Q88" s="157">
        <v>0</v>
      </c>
      <c r="R88" s="157">
        <v>0</v>
      </c>
      <c r="S88" s="157">
        <v>0</v>
      </c>
      <c r="T88" s="157">
        <v>0</v>
      </c>
      <c r="U88" s="157">
        <v>0</v>
      </c>
      <c r="V88" s="157">
        <v>0</v>
      </c>
      <c r="W88" s="157">
        <v>0</v>
      </c>
      <c r="X88" s="157">
        <v>0</v>
      </c>
      <c r="Y88" s="157">
        <v>0</v>
      </c>
      <c r="Z88" s="157">
        <v>0</v>
      </c>
      <c r="AA88" s="157">
        <v>0</v>
      </c>
      <c r="AB88" s="157">
        <v>0</v>
      </c>
      <c r="AC88" s="157">
        <v>0</v>
      </c>
      <c r="AD88" s="157">
        <v>0</v>
      </c>
      <c r="AE88" s="157">
        <v>0</v>
      </c>
      <c r="AF88" s="157">
        <v>0</v>
      </c>
      <c r="AG88" s="157">
        <v>0</v>
      </c>
      <c r="AH88" s="157">
        <v>0</v>
      </c>
      <c r="AI88" s="157">
        <v>0</v>
      </c>
      <c r="AJ88" s="157">
        <v>0</v>
      </c>
      <c r="AK88" s="157">
        <v>0</v>
      </c>
      <c r="AL88" s="157">
        <v>0</v>
      </c>
      <c r="AM88" s="157">
        <v>0</v>
      </c>
      <c r="AN88" s="157">
        <v>0</v>
      </c>
      <c r="AO88" s="157">
        <v>0</v>
      </c>
      <c r="AP88" s="157">
        <v>0</v>
      </c>
      <c r="AQ88" s="157">
        <v>0</v>
      </c>
      <c r="AR88" s="157">
        <f t="shared" si="6"/>
        <v>0</v>
      </c>
      <c r="AS88" s="185" t="s">
        <v>614</v>
      </c>
    </row>
    <row r="89" spans="1:45">
      <c r="A89" s="160">
        <f t="shared" si="5"/>
        <v>45831</v>
      </c>
      <c r="B89" s="157">
        <f>YEAR(Table7[[#This Row],[Date]])+IF(MONTH(Table7[[#This Row],[Date]])&gt;=4,1,0)</f>
        <v>2026</v>
      </c>
      <c r="C89" s="157">
        <f>YEAR(Table7[[#This Row],[Date]])</f>
        <v>2025</v>
      </c>
      <c r="D89" s="159">
        <f t="shared" si="4"/>
        <v>45809</v>
      </c>
      <c r="E89" s="157">
        <v>0</v>
      </c>
      <c r="F89" s="157">
        <v>0</v>
      </c>
      <c r="G89" s="157">
        <v>0</v>
      </c>
      <c r="H89" s="157">
        <v>0</v>
      </c>
      <c r="I89" s="157">
        <v>0</v>
      </c>
      <c r="J89" s="157">
        <v>0</v>
      </c>
      <c r="K89" s="157">
        <v>0</v>
      </c>
      <c r="L89" s="157">
        <v>0</v>
      </c>
      <c r="M89" s="157">
        <v>0</v>
      </c>
      <c r="N89" s="157">
        <v>0</v>
      </c>
      <c r="O89" s="157">
        <v>0</v>
      </c>
      <c r="P89" s="157">
        <v>0</v>
      </c>
      <c r="Q89" s="157">
        <v>0</v>
      </c>
      <c r="R89" s="157">
        <v>0</v>
      </c>
      <c r="S89" s="157">
        <v>0</v>
      </c>
      <c r="T89" s="157">
        <v>0</v>
      </c>
      <c r="U89" s="157">
        <v>0</v>
      </c>
      <c r="V89" s="157">
        <v>0</v>
      </c>
      <c r="W89" s="157">
        <v>0</v>
      </c>
      <c r="X89" s="157">
        <v>0</v>
      </c>
      <c r="Y89" s="157">
        <v>0</v>
      </c>
      <c r="Z89" s="157">
        <v>0</v>
      </c>
      <c r="AA89" s="157">
        <v>0</v>
      </c>
      <c r="AB89" s="157">
        <v>0</v>
      </c>
      <c r="AC89" s="157">
        <v>0</v>
      </c>
      <c r="AD89" s="157">
        <v>0</v>
      </c>
      <c r="AE89" s="157">
        <v>0</v>
      </c>
      <c r="AF89" s="157">
        <v>0</v>
      </c>
      <c r="AG89" s="157">
        <v>0</v>
      </c>
      <c r="AH89" s="157">
        <v>0</v>
      </c>
      <c r="AI89" s="157">
        <v>0</v>
      </c>
      <c r="AJ89" s="157">
        <v>0</v>
      </c>
      <c r="AK89" s="157">
        <v>0</v>
      </c>
      <c r="AL89" s="157">
        <v>0</v>
      </c>
      <c r="AM89" s="157">
        <v>0</v>
      </c>
      <c r="AN89" s="157">
        <v>0</v>
      </c>
      <c r="AO89" s="157">
        <v>0</v>
      </c>
      <c r="AP89" s="157">
        <v>0</v>
      </c>
      <c r="AQ89" s="157">
        <v>0</v>
      </c>
      <c r="AR89" s="157">
        <f t="shared" si="6"/>
        <v>0</v>
      </c>
      <c r="AS89" s="185" t="s">
        <v>614</v>
      </c>
    </row>
    <row r="90" spans="1:45">
      <c r="A90" s="160">
        <f t="shared" si="5"/>
        <v>45832</v>
      </c>
      <c r="B90" s="157">
        <f>YEAR(Table7[[#This Row],[Date]])+IF(MONTH(Table7[[#This Row],[Date]])&gt;=4,1,0)</f>
        <v>2026</v>
      </c>
      <c r="C90" s="157">
        <f>YEAR(Table7[[#This Row],[Date]])</f>
        <v>2025</v>
      </c>
      <c r="D90" s="159">
        <f t="shared" si="4"/>
        <v>45809</v>
      </c>
      <c r="E90" s="157">
        <v>0</v>
      </c>
      <c r="F90" s="157">
        <v>0</v>
      </c>
      <c r="G90" s="157">
        <v>0</v>
      </c>
      <c r="H90" s="157">
        <v>0</v>
      </c>
      <c r="I90" s="157">
        <v>0</v>
      </c>
      <c r="J90" s="157">
        <v>0</v>
      </c>
      <c r="K90" s="157">
        <v>0</v>
      </c>
      <c r="L90" s="157">
        <v>0</v>
      </c>
      <c r="M90" s="157">
        <v>0</v>
      </c>
      <c r="N90" s="157">
        <v>0</v>
      </c>
      <c r="O90" s="157">
        <v>0</v>
      </c>
      <c r="P90" s="157">
        <v>0</v>
      </c>
      <c r="Q90" s="157">
        <v>0</v>
      </c>
      <c r="R90" s="157">
        <v>0</v>
      </c>
      <c r="S90" s="157">
        <v>0</v>
      </c>
      <c r="T90" s="157">
        <v>0</v>
      </c>
      <c r="U90" s="157">
        <v>0</v>
      </c>
      <c r="V90" s="157">
        <v>0</v>
      </c>
      <c r="W90" s="157">
        <v>0</v>
      </c>
      <c r="X90" s="157">
        <v>0</v>
      </c>
      <c r="Y90" s="157">
        <v>0</v>
      </c>
      <c r="Z90" s="157">
        <v>0</v>
      </c>
      <c r="AA90" s="157">
        <v>0</v>
      </c>
      <c r="AB90" s="157">
        <v>0</v>
      </c>
      <c r="AC90" s="157">
        <v>0</v>
      </c>
      <c r="AD90" s="157">
        <v>0</v>
      </c>
      <c r="AE90" s="157">
        <v>0</v>
      </c>
      <c r="AF90" s="157">
        <v>0</v>
      </c>
      <c r="AG90" s="157">
        <v>0</v>
      </c>
      <c r="AH90" s="157">
        <v>0</v>
      </c>
      <c r="AI90" s="157">
        <v>0</v>
      </c>
      <c r="AJ90" s="157">
        <v>0</v>
      </c>
      <c r="AK90" s="157">
        <v>0</v>
      </c>
      <c r="AL90" s="157">
        <v>0</v>
      </c>
      <c r="AM90" s="157">
        <v>0</v>
      </c>
      <c r="AN90" s="157">
        <v>0</v>
      </c>
      <c r="AO90" s="157">
        <v>0</v>
      </c>
      <c r="AP90" s="157">
        <v>0</v>
      </c>
      <c r="AQ90" s="157">
        <v>0</v>
      </c>
      <c r="AR90" s="157">
        <f t="shared" si="6"/>
        <v>0</v>
      </c>
      <c r="AS90" s="185" t="s">
        <v>614</v>
      </c>
    </row>
    <row r="91" spans="1:45">
      <c r="A91" s="160">
        <f t="shared" si="5"/>
        <v>45833</v>
      </c>
      <c r="B91" s="157">
        <f>YEAR(Table7[[#This Row],[Date]])+IF(MONTH(Table7[[#This Row],[Date]])&gt;=4,1,0)</f>
        <v>2026</v>
      </c>
      <c r="C91" s="157">
        <f>YEAR(Table7[[#This Row],[Date]])</f>
        <v>2025</v>
      </c>
      <c r="D91" s="159">
        <f t="shared" si="4"/>
        <v>45809</v>
      </c>
      <c r="E91" s="157">
        <v>0</v>
      </c>
      <c r="F91" s="157">
        <v>0</v>
      </c>
      <c r="G91" s="157">
        <v>0</v>
      </c>
      <c r="H91" s="157">
        <v>0</v>
      </c>
      <c r="I91" s="157">
        <v>0</v>
      </c>
      <c r="J91" s="157">
        <v>0</v>
      </c>
      <c r="K91" s="157">
        <v>0</v>
      </c>
      <c r="L91" s="157">
        <v>0</v>
      </c>
      <c r="M91" s="157">
        <v>0</v>
      </c>
      <c r="N91" s="157">
        <v>0</v>
      </c>
      <c r="O91" s="157">
        <v>0</v>
      </c>
      <c r="P91" s="157">
        <v>0</v>
      </c>
      <c r="Q91" s="157">
        <v>0</v>
      </c>
      <c r="R91" s="157">
        <v>0</v>
      </c>
      <c r="S91" s="157">
        <v>0</v>
      </c>
      <c r="T91" s="157">
        <v>0</v>
      </c>
      <c r="U91" s="157">
        <v>0</v>
      </c>
      <c r="V91" s="157">
        <v>0</v>
      </c>
      <c r="W91" s="157">
        <v>0</v>
      </c>
      <c r="X91" s="157">
        <v>0</v>
      </c>
      <c r="Y91" s="157">
        <v>0</v>
      </c>
      <c r="Z91" s="157">
        <v>0</v>
      </c>
      <c r="AA91" s="157">
        <v>0</v>
      </c>
      <c r="AB91" s="157">
        <v>0</v>
      </c>
      <c r="AC91" s="157">
        <v>0</v>
      </c>
      <c r="AD91" s="157">
        <v>0</v>
      </c>
      <c r="AE91" s="157">
        <v>0</v>
      </c>
      <c r="AF91" s="157">
        <v>0</v>
      </c>
      <c r="AG91" s="157">
        <v>0</v>
      </c>
      <c r="AH91" s="157">
        <v>0</v>
      </c>
      <c r="AI91" s="157">
        <v>0</v>
      </c>
      <c r="AJ91" s="157">
        <v>0</v>
      </c>
      <c r="AK91" s="157">
        <v>0</v>
      </c>
      <c r="AL91" s="157">
        <v>0</v>
      </c>
      <c r="AM91" s="157">
        <v>0</v>
      </c>
      <c r="AN91" s="157">
        <v>0</v>
      </c>
      <c r="AO91" s="157">
        <v>0</v>
      </c>
      <c r="AP91" s="157">
        <v>0</v>
      </c>
      <c r="AQ91" s="157">
        <v>0</v>
      </c>
      <c r="AR91" s="157">
        <f t="shared" si="6"/>
        <v>0</v>
      </c>
      <c r="AS91" s="185" t="s">
        <v>614</v>
      </c>
    </row>
    <row r="92" spans="1:45">
      <c r="A92" s="160">
        <f t="shared" si="5"/>
        <v>45834</v>
      </c>
      <c r="B92" s="157">
        <f>YEAR(Table7[[#This Row],[Date]])+IF(MONTH(Table7[[#This Row],[Date]])&gt;=4,1,0)</f>
        <v>2026</v>
      </c>
      <c r="C92" s="157">
        <f>YEAR(Table7[[#This Row],[Date]])</f>
        <v>2025</v>
      </c>
      <c r="D92" s="159">
        <f t="shared" si="4"/>
        <v>45809</v>
      </c>
      <c r="E92" s="157">
        <v>0</v>
      </c>
      <c r="F92" s="157">
        <v>0</v>
      </c>
      <c r="G92" s="157">
        <v>0</v>
      </c>
      <c r="H92" s="157">
        <v>0</v>
      </c>
      <c r="I92" s="157">
        <v>0</v>
      </c>
      <c r="J92" s="157">
        <v>0</v>
      </c>
      <c r="K92" s="157">
        <v>0</v>
      </c>
      <c r="L92" s="157">
        <v>0</v>
      </c>
      <c r="M92" s="157">
        <v>0</v>
      </c>
      <c r="N92" s="157">
        <v>0</v>
      </c>
      <c r="O92" s="157">
        <v>0</v>
      </c>
      <c r="P92" s="157">
        <v>0</v>
      </c>
      <c r="Q92" s="157">
        <v>0</v>
      </c>
      <c r="R92" s="157">
        <v>0</v>
      </c>
      <c r="S92" s="157">
        <v>0</v>
      </c>
      <c r="T92" s="157">
        <v>0</v>
      </c>
      <c r="U92" s="157">
        <v>0</v>
      </c>
      <c r="V92" s="157">
        <v>0</v>
      </c>
      <c r="W92" s="157">
        <v>0</v>
      </c>
      <c r="X92" s="157">
        <v>0</v>
      </c>
      <c r="Y92" s="157">
        <v>0</v>
      </c>
      <c r="Z92" s="157">
        <v>0</v>
      </c>
      <c r="AA92" s="157">
        <v>0</v>
      </c>
      <c r="AB92" s="157">
        <v>0</v>
      </c>
      <c r="AC92" s="157">
        <v>0</v>
      </c>
      <c r="AD92" s="157">
        <v>0</v>
      </c>
      <c r="AE92" s="157">
        <v>0</v>
      </c>
      <c r="AF92" s="157">
        <v>0</v>
      </c>
      <c r="AG92" s="157">
        <v>0</v>
      </c>
      <c r="AH92" s="157">
        <v>0</v>
      </c>
      <c r="AI92" s="157">
        <v>0</v>
      </c>
      <c r="AJ92" s="157">
        <v>0</v>
      </c>
      <c r="AK92" s="157">
        <v>0</v>
      </c>
      <c r="AL92" s="157">
        <v>0</v>
      </c>
      <c r="AM92" s="157">
        <v>0</v>
      </c>
      <c r="AN92" s="157">
        <v>0</v>
      </c>
      <c r="AO92" s="157">
        <v>0</v>
      </c>
      <c r="AP92" s="157">
        <v>0</v>
      </c>
      <c r="AQ92" s="157">
        <v>0</v>
      </c>
      <c r="AR92" s="157">
        <f t="shared" si="6"/>
        <v>0</v>
      </c>
      <c r="AS92" s="185" t="s">
        <v>614</v>
      </c>
    </row>
    <row r="93" spans="1:45">
      <c r="A93" s="160">
        <f t="shared" si="5"/>
        <v>45835</v>
      </c>
      <c r="B93" s="157">
        <f>YEAR(Table7[[#This Row],[Date]])+IF(MONTH(Table7[[#This Row],[Date]])&gt;=4,1,0)</f>
        <v>2026</v>
      </c>
      <c r="C93" s="157">
        <f>YEAR(Table7[[#This Row],[Date]])</f>
        <v>2025</v>
      </c>
      <c r="D93" s="159">
        <f t="shared" si="4"/>
        <v>45809</v>
      </c>
      <c r="E93" s="157">
        <v>0</v>
      </c>
      <c r="F93" s="157">
        <v>0</v>
      </c>
      <c r="G93" s="157">
        <v>0</v>
      </c>
      <c r="H93" s="157">
        <v>0</v>
      </c>
      <c r="I93" s="157">
        <v>0</v>
      </c>
      <c r="J93" s="157">
        <v>0</v>
      </c>
      <c r="K93" s="157">
        <v>0</v>
      </c>
      <c r="L93" s="157">
        <v>0</v>
      </c>
      <c r="M93" s="157">
        <v>0</v>
      </c>
      <c r="N93" s="157">
        <v>0</v>
      </c>
      <c r="O93" s="157">
        <v>0</v>
      </c>
      <c r="P93" s="157">
        <v>0</v>
      </c>
      <c r="Q93" s="157">
        <v>0</v>
      </c>
      <c r="R93" s="157">
        <v>0</v>
      </c>
      <c r="S93" s="157">
        <v>0</v>
      </c>
      <c r="T93" s="157">
        <v>0</v>
      </c>
      <c r="U93" s="157">
        <v>0</v>
      </c>
      <c r="V93" s="157">
        <v>0</v>
      </c>
      <c r="W93" s="157">
        <v>0</v>
      </c>
      <c r="X93" s="157">
        <v>0</v>
      </c>
      <c r="Y93" s="157">
        <v>0</v>
      </c>
      <c r="Z93" s="157">
        <v>0</v>
      </c>
      <c r="AA93" s="157">
        <v>0</v>
      </c>
      <c r="AB93" s="157">
        <v>0</v>
      </c>
      <c r="AC93" s="157">
        <v>0</v>
      </c>
      <c r="AD93" s="157">
        <v>0</v>
      </c>
      <c r="AE93" s="157">
        <v>0</v>
      </c>
      <c r="AF93" s="157">
        <v>0</v>
      </c>
      <c r="AG93" s="157">
        <v>0</v>
      </c>
      <c r="AH93" s="157">
        <v>0</v>
      </c>
      <c r="AI93" s="157">
        <v>0</v>
      </c>
      <c r="AJ93" s="157">
        <v>0</v>
      </c>
      <c r="AK93" s="157">
        <v>0</v>
      </c>
      <c r="AL93" s="157">
        <v>0</v>
      </c>
      <c r="AM93" s="157">
        <v>0</v>
      </c>
      <c r="AN93" s="157">
        <v>0</v>
      </c>
      <c r="AO93" s="157">
        <v>0</v>
      </c>
      <c r="AP93" s="157">
        <v>0</v>
      </c>
      <c r="AQ93" s="157">
        <v>0</v>
      </c>
      <c r="AR93" s="157">
        <f t="shared" si="6"/>
        <v>0</v>
      </c>
      <c r="AS93" s="185" t="s">
        <v>614</v>
      </c>
    </row>
    <row r="94" spans="1:45">
      <c r="A94" s="160">
        <f t="shared" si="5"/>
        <v>45836</v>
      </c>
      <c r="B94" s="157">
        <f>YEAR(Table7[[#This Row],[Date]])+IF(MONTH(Table7[[#This Row],[Date]])&gt;=4,1,0)</f>
        <v>2026</v>
      </c>
      <c r="C94" s="157">
        <f>YEAR(Table7[[#This Row],[Date]])</f>
        <v>2025</v>
      </c>
      <c r="D94" s="159">
        <f t="shared" si="4"/>
        <v>45809</v>
      </c>
      <c r="E94" s="162">
        <v>64.864864859999997</v>
      </c>
      <c r="F94" s="162">
        <v>64.864864859999997</v>
      </c>
      <c r="G94" s="162">
        <v>64.864864859999997</v>
      </c>
      <c r="H94" s="162">
        <v>64.864864859999997</v>
      </c>
      <c r="I94" s="162">
        <v>64.864864859999997</v>
      </c>
      <c r="J94" s="162">
        <v>64.864864859999997</v>
      </c>
      <c r="K94" s="162">
        <v>64.864864859999997</v>
      </c>
      <c r="L94" s="162">
        <v>64.864864859999997</v>
      </c>
      <c r="M94" s="162">
        <v>64.864864859999997</v>
      </c>
      <c r="N94" s="162">
        <v>64.864864859999997</v>
      </c>
      <c r="O94" s="162">
        <v>64.864864859999997</v>
      </c>
      <c r="P94" s="162">
        <v>64.864864859999997</v>
      </c>
      <c r="Q94" s="162">
        <v>64.864864859999997</v>
      </c>
      <c r="R94" s="162">
        <v>64.864864859999997</v>
      </c>
      <c r="S94" s="162">
        <v>64.864864859999997</v>
      </c>
      <c r="T94" s="162">
        <v>64.864864859999997</v>
      </c>
      <c r="U94" s="162">
        <v>0</v>
      </c>
      <c r="V94" s="162">
        <v>64.864864859999997</v>
      </c>
      <c r="W94" s="162">
        <v>64.864864859999997</v>
      </c>
      <c r="X94" s="162">
        <v>64.864864859999997</v>
      </c>
      <c r="Y94" s="162">
        <v>64.864864859999997</v>
      </c>
      <c r="Z94" s="162">
        <v>64.864864859999997</v>
      </c>
      <c r="AA94" s="162">
        <v>64.864864859999997</v>
      </c>
      <c r="AB94" s="162">
        <v>64.864864859999997</v>
      </c>
      <c r="AC94" s="162">
        <v>64.864864859999997</v>
      </c>
      <c r="AD94" s="162">
        <v>64.864864859999997</v>
      </c>
      <c r="AE94" s="162">
        <v>64.864864859999997</v>
      </c>
      <c r="AF94" s="162">
        <v>0</v>
      </c>
      <c r="AG94" s="162">
        <v>64.864864859999997</v>
      </c>
      <c r="AH94" s="162">
        <v>0</v>
      </c>
      <c r="AI94" s="162">
        <v>64.864864859999997</v>
      </c>
      <c r="AJ94" s="162">
        <v>64.864864859999997</v>
      </c>
      <c r="AK94" s="162">
        <v>64.864864859999997</v>
      </c>
      <c r="AL94" s="162">
        <v>64.864864859999997</v>
      </c>
      <c r="AM94" s="162">
        <v>64.864864859999997</v>
      </c>
      <c r="AN94" s="162">
        <v>64.864864859999997</v>
      </c>
      <c r="AO94" s="162">
        <v>64.864864859999997</v>
      </c>
      <c r="AP94" s="162">
        <v>64.864864859999997</v>
      </c>
      <c r="AQ94" s="162">
        <v>64.864864859999997</v>
      </c>
      <c r="AR94" s="162">
        <f t="shared" si="6"/>
        <v>2335.135134959999</v>
      </c>
      <c r="AS94" s="185" t="s">
        <v>614</v>
      </c>
    </row>
    <row r="95" spans="1:45">
      <c r="A95" s="160">
        <f t="shared" si="5"/>
        <v>45837</v>
      </c>
      <c r="B95" s="157">
        <f>YEAR(Table7[[#This Row],[Date]])+IF(MONTH(Table7[[#This Row],[Date]])&gt;=4,1,0)</f>
        <v>2026</v>
      </c>
      <c r="C95" s="157">
        <f>YEAR(Table7[[#This Row],[Date]])</f>
        <v>2025</v>
      </c>
      <c r="D95" s="159">
        <f t="shared" si="4"/>
        <v>45809</v>
      </c>
      <c r="E95" s="157">
        <v>0</v>
      </c>
      <c r="F95" s="157">
        <v>0</v>
      </c>
      <c r="G95" s="157">
        <v>0</v>
      </c>
      <c r="H95" s="157">
        <v>0</v>
      </c>
      <c r="I95" s="157">
        <v>0</v>
      </c>
      <c r="J95" s="157">
        <v>0</v>
      </c>
      <c r="K95" s="157">
        <v>0</v>
      </c>
      <c r="L95" s="157">
        <v>0</v>
      </c>
      <c r="M95" s="157">
        <v>0</v>
      </c>
      <c r="N95" s="157">
        <v>0</v>
      </c>
      <c r="O95" s="157">
        <v>0</v>
      </c>
      <c r="P95" s="157">
        <v>0</v>
      </c>
      <c r="Q95" s="157">
        <v>0</v>
      </c>
      <c r="R95" s="157">
        <v>0</v>
      </c>
      <c r="S95" s="157">
        <v>0</v>
      </c>
      <c r="T95" s="157">
        <v>0</v>
      </c>
      <c r="U95" s="157">
        <v>0</v>
      </c>
      <c r="V95" s="157">
        <v>0</v>
      </c>
      <c r="W95" s="157">
        <v>0</v>
      </c>
      <c r="X95" s="157">
        <v>0</v>
      </c>
      <c r="Y95" s="157">
        <v>0</v>
      </c>
      <c r="Z95" s="157">
        <v>0</v>
      </c>
      <c r="AA95" s="157">
        <v>0</v>
      </c>
      <c r="AB95" s="157">
        <v>0</v>
      </c>
      <c r="AC95" s="157">
        <v>0</v>
      </c>
      <c r="AD95" s="157">
        <v>0</v>
      </c>
      <c r="AE95" s="157">
        <v>0</v>
      </c>
      <c r="AF95" s="157">
        <v>0</v>
      </c>
      <c r="AG95" s="157">
        <v>0</v>
      </c>
      <c r="AH95" s="157">
        <v>0</v>
      </c>
      <c r="AI95" s="157">
        <v>0</v>
      </c>
      <c r="AJ95" s="157">
        <v>0</v>
      </c>
      <c r="AK95" s="157">
        <v>0</v>
      </c>
      <c r="AL95" s="157">
        <v>0</v>
      </c>
      <c r="AM95" s="157">
        <v>0</v>
      </c>
      <c r="AN95" s="157">
        <v>0</v>
      </c>
      <c r="AO95" s="157">
        <v>0</v>
      </c>
      <c r="AP95" s="157">
        <v>0</v>
      </c>
      <c r="AQ95" s="157">
        <v>0</v>
      </c>
      <c r="AR95" s="157">
        <f t="shared" si="6"/>
        <v>0</v>
      </c>
      <c r="AS95" s="185" t="s">
        <v>614</v>
      </c>
    </row>
    <row r="96" spans="1:45">
      <c r="A96" s="160">
        <f t="shared" si="5"/>
        <v>45838</v>
      </c>
      <c r="B96" s="157">
        <f>YEAR(Table7[[#This Row],[Date]])+IF(MONTH(Table7[[#This Row],[Date]])&gt;=4,1,0)</f>
        <v>2026</v>
      </c>
      <c r="C96" s="157">
        <f>YEAR(Table7[[#This Row],[Date]])</f>
        <v>2025</v>
      </c>
      <c r="D96" s="159">
        <f t="shared" si="4"/>
        <v>45809</v>
      </c>
      <c r="E96" s="157">
        <v>0</v>
      </c>
      <c r="F96" s="157">
        <v>0</v>
      </c>
      <c r="G96" s="157">
        <v>0</v>
      </c>
      <c r="H96" s="157">
        <v>0</v>
      </c>
      <c r="I96" s="157">
        <v>0</v>
      </c>
      <c r="J96" s="157">
        <v>0</v>
      </c>
      <c r="K96" s="157">
        <v>0</v>
      </c>
      <c r="L96" s="157">
        <v>0</v>
      </c>
      <c r="M96" s="157">
        <v>0</v>
      </c>
      <c r="N96" s="157">
        <v>0</v>
      </c>
      <c r="O96" s="157">
        <v>0</v>
      </c>
      <c r="P96" s="157">
        <v>0</v>
      </c>
      <c r="Q96" s="157">
        <v>0</v>
      </c>
      <c r="R96" s="157">
        <v>0</v>
      </c>
      <c r="S96" s="157">
        <v>0</v>
      </c>
      <c r="T96" s="157">
        <v>0</v>
      </c>
      <c r="U96" s="157">
        <v>0</v>
      </c>
      <c r="V96" s="157">
        <v>0</v>
      </c>
      <c r="W96" s="157">
        <v>0</v>
      </c>
      <c r="X96" s="157">
        <v>0</v>
      </c>
      <c r="Y96" s="157">
        <v>0</v>
      </c>
      <c r="Z96" s="157">
        <v>0</v>
      </c>
      <c r="AA96" s="157">
        <v>0</v>
      </c>
      <c r="AB96" s="157">
        <v>0</v>
      </c>
      <c r="AC96" s="157">
        <v>0</v>
      </c>
      <c r="AD96" s="157">
        <v>0</v>
      </c>
      <c r="AE96" s="157">
        <v>0</v>
      </c>
      <c r="AF96" s="157">
        <v>0</v>
      </c>
      <c r="AG96" s="157">
        <v>0</v>
      </c>
      <c r="AH96" s="157">
        <v>0</v>
      </c>
      <c r="AI96" s="157">
        <v>0</v>
      </c>
      <c r="AJ96" s="157">
        <v>0</v>
      </c>
      <c r="AK96" s="157">
        <v>0</v>
      </c>
      <c r="AL96" s="157">
        <v>0</v>
      </c>
      <c r="AM96" s="157">
        <v>0</v>
      </c>
      <c r="AN96" s="157">
        <v>0</v>
      </c>
      <c r="AO96" s="157">
        <v>0</v>
      </c>
      <c r="AP96" s="157">
        <v>0</v>
      </c>
      <c r="AQ96" s="157">
        <v>0</v>
      </c>
      <c r="AR96" s="157">
        <f t="shared" si="6"/>
        <v>0</v>
      </c>
      <c r="AS96" s="185" t="s">
        <v>614</v>
      </c>
    </row>
    <row r="97" spans="1:45">
      <c r="A97" s="160">
        <f t="shared" si="5"/>
        <v>45839</v>
      </c>
      <c r="B97" s="157">
        <f>YEAR(Table7[[#This Row],[Date]])+IF(MONTH(Table7[[#This Row],[Date]])&gt;=4,1,0)</f>
        <v>2026</v>
      </c>
      <c r="C97" s="157">
        <f>YEAR(Table7[[#This Row],[Date]])</f>
        <v>2025</v>
      </c>
      <c r="D97" s="159">
        <f t="shared" si="4"/>
        <v>45839</v>
      </c>
      <c r="E97" s="157">
        <v>0</v>
      </c>
      <c r="F97" s="157">
        <v>0</v>
      </c>
      <c r="G97" s="157">
        <v>0</v>
      </c>
      <c r="H97" s="157">
        <v>0</v>
      </c>
      <c r="I97" s="157">
        <v>0</v>
      </c>
      <c r="J97" s="157">
        <v>0</v>
      </c>
      <c r="K97" s="157">
        <v>0</v>
      </c>
      <c r="L97" s="157">
        <v>0</v>
      </c>
      <c r="M97" s="157">
        <v>0</v>
      </c>
      <c r="N97" s="157">
        <v>0</v>
      </c>
      <c r="O97" s="157">
        <v>0</v>
      </c>
      <c r="P97" s="157">
        <v>0</v>
      </c>
      <c r="Q97" s="157">
        <v>0</v>
      </c>
      <c r="R97" s="157">
        <v>0</v>
      </c>
      <c r="S97" s="157">
        <v>0</v>
      </c>
      <c r="T97" s="157">
        <v>0</v>
      </c>
      <c r="U97" s="157">
        <v>0</v>
      </c>
      <c r="V97" s="157">
        <v>0</v>
      </c>
      <c r="W97" s="157">
        <v>0</v>
      </c>
      <c r="X97" s="157">
        <v>0</v>
      </c>
      <c r="Y97" s="157">
        <v>0</v>
      </c>
      <c r="Z97" s="157">
        <v>0</v>
      </c>
      <c r="AA97" s="157">
        <v>0</v>
      </c>
      <c r="AB97" s="157">
        <v>0</v>
      </c>
      <c r="AC97" s="157">
        <v>0</v>
      </c>
      <c r="AD97" s="157">
        <v>0</v>
      </c>
      <c r="AE97" s="157">
        <v>0</v>
      </c>
      <c r="AF97" s="157">
        <v>0</v>
      </c>
      <c r="AG97" s="157">
        <v>0</v>
      </c>
      <c r="AH97" s="157">
        <v>0</v>
      </c>
      <c r="AI97" s="157">
        <v>0</v>
      </c>
      <c r="AJ97" s="157">
        <v>0</v>
      </c>
      <c r="AK97" s="157">
        <v>0</v>
      </c>
      <c r="AL97" s="157">
        <v>0</v>
      </c>
      <c r="AM97" s="157">
        <v>0</v>
      </c>
      <c r="AN97" s="157">
        <v>0</v>
      </c>
      <c r="AO97" s="157">
        <v>0</v>
      </c>
      <c r="AP97" s="157">
        <v>0</v>
      </c>
      <c r="AQ97" s="157">
        <v>0</v>
      </c>
      <c r="AR97" s="157">
        <f t="shared" si="6"/>
        <v>0</v>
      </c>
      <c r="AS97" s="185" t="s">
        <v>614</v>
      </c>
    </row>
    <row r="98" spans="1:45">
      <c r="A98" s="160">
        <f t="shared" si="5"/>
        <v>45840</v>
      </c>
      <c r="B98" s="157">
        <f>YEAR(Table7[[#This Row],[Date]])+IF(MONTH(Table7[[#This Row],[Date]])&gt;=4,1,0)</f>
        <v>2026</v>
      </c>
      <c r="C98" s="157">
        <f>YEAR(Table7[[#This Row],[Date]])</f>
        <v>2025</v>
      </c>
      <c r="D98" s="159">
        <f t="shared" si="4"/>
        <v>45839</v>
      </c>
      <c r="E98" s="157">
        <v>0</v>
      </c>
      <c r="F98" s="157">
        <v>0</v>
      </c>
      <c r="G98" s="157">
        <v>0</v>
      </c>
      <c r="H98" s="157">
        <v>0</v>
      </c>
      <c r="I98" s="157">
        <v>0</v>
      </c>
      <c r="J98" s="157">
        <v>0</v>
      </c>
      <c r="K98" s="157">
        <v>0</v>
      </c>
      <c r="L98" s="157">
        <v>0</v>
      </c>
      <c r="M98" s="157">
        <v>0</v>
      </c>
      <c r="N98" s="157">
        <v>0</v>
      </c>
      <c r="O98" s="157">
        <v>0</v>
      </c>
      <c r="P98" s="157">
        <v>0</v>
      </c>
      <c r="Q98" s="157">
        <v>0</v>
      </c>
      <c r="R98" s="157">
        <v>0</v>
      </c>
      <c r="S98" s="157">
        <v>0</v>
      </c>
      <c r="T98" s="157">
        <v>0</v>
      </c>
      <c r="U98" s="157">
        <v>0</v>
      </c>
      <c r="V98" s="157">
        <v>0</v>
      </c>
      <c r="W98" s="157">
        <v>0</v>
      </c>
      <c r="X98" s="157">
        <v>0</v>
      </c>
      <c r="Y98" s="157">
        <v>0</v>
      </c>
      <c r="Z98" s="157">
        <v>0</v>
      </c>
      <c r="AA98" s="157">
        <v>0</v>
      </c>
      <c r="AB98" s="157">
        <v>0</v>
      </c>
      <c r="AC98" s="157">
        <v>0</v>
      </c>
      <c r="AD98" s="157">
        <v>0</v>
      </c>
      <c r="AE98" s="157">
        <v>0</v>
      </c>
      <c r="AF98" s="157">
        <v>0</v>
      </c>
      <c r="AG98" s="157">
        <v>0</v>
      </c>
      <c r="AH98" s="157">
        <v>0</v>
      </c>
      <c r="AI98" s="157">
        <v>0</v>
      </c>
      <c r="AJ98" s="157">
        <v>0</v>
      </c>
      <c r="AK98" s="157">
        <v>0</v>
      </c>
      <c r="AL98" s="157">
        <v>0</v>
      </c>
      <c r="AM98" s="157">
        <v>0</v>
      </c>
      <c r="AN98" s="157">
        <v>0</v>
      </c>
      <c r="AO98" s="157">
        <v>0</v>
      </c>
      <c r="AP98" s="157">
        <v>0</v>
      </c>
      <c r="AQ98" s="157">
        <v>0</v>
      </c>
      <c r="AR98" s="157">
        <f t="shared" si="6"/>
        <v>0</v>
      </c>
      <c r="AS98" s="185" t="s">
        <v>614</v>
      </c>
    </row>
    <row r="99" spans="1:45">
      <c r="A99" s="160">
        <f t="shared" si="5"/>
        <v>45841</v>
      </c>
      <c r="B99" s="157">
        <f>YEAR(Table7[[#This Row],[Date]])+IF(MONTH(Table7[[#This Row],[Date]])&gt;=4,1,0)</f>
        <v>2026</v>
      </c>
      <c r="C99" s="157">
        <f>YEAR(Table7[[#This Row],[Date]])</f>
        <v>2025</v>
      </c>
      <c r="D99" s="159">
        <f t="shared" si="4"/>
        <v>45839</v>
      </c>
      <c r="E99" s="157">
        <v>0</v>
      </c>
      <c r="F99" s="157">
        <v>0</v>
      </c>
      <c r="G99" s="157">
        <v>0</v>
      </c>
      <c r="H99" s="157">
        <v>0</v>
      </c>
      <c r="I99" s="157">
        <v>0</v>
      </c>
      <c r="J99" s="157">
        <v>0</v>
      </c>
      <c r="K99" s="157">
        <v>0</v>
      </c>
      <c r="L99" s="157">
        <v>0</v>
      </c>
      <c r="M99" s="157">
        <v>0</v>
      </c>
      <c r="N99" s="157">
        <v>0</v>
      </c>
      <c r="O99" s="157">
        <v>0</v>
      </c>
      <c r="P99" s="157">
        <v>0</v>
      </c>
      <c r="Q99" s="157">
        <v>0</v>
      </c>
      <c r="R99" s="157">
        <v>0</v>
      </c>
      <c r="S99" s="157">
        <v>0</v>
      </c>
      <c r="T99" s="157">
        <v>0</v>
      </c>
      <c r="U99" s="157">
        <v>0</v>
      </c>
      <c r="V99" s="157">
        <v>0</v>
      </c>
      <c r="W99" s="157">
        <v>0</v>
      </c>
      <c r="X99" s="157">
        <v>0</v>
      </c>
      <c r="Y99" s="157">
        <v>0</v>
      </c>
      <c r="Z99" s="157">
        <v>0</v>
      </c>
      <c r="AA99" s="157">
        <v>0</v>
      </c>
      <c r="AB99" s="157">
        <v>0</v>
      </c>
      <c r="AC99" s="157">
        <v>0</v>
      </c>
      <c r="AD99" s="157">
        <v>0</v>
      </c>
      <c r="AE99" s="157">
        <v>0</v>
      </c>
      <c r="AF99" s="157">
        <v>0</v>
      </c>
      <c r="AG99" s="157">
        <v>0</v>
      </c>
      <c r="AH99" s="157">
        <v>0</v>
      </c>
      <c r="AI99" s="157">
        <v>0</v>
      </c>
      <c r="AJ99" s="157">
        <v>0</v>
      </c>
      <c r="AK99" s="157">
        <v>0</v>
      </c>
      <c r="AL99" s="157">
        <v>0</v>
      </c>
      <c r="AM99" s="157">
        <v>0</v>
      </c>
      <c r="AN99" s="157">
        <v>0</v>
      </c>
      <c r="AO99" s="157">
        <v>0</v>
      </c>
      <c r="AP99" s="157">
        <v>0</v>
      </c>
      <c r="AQ99" s="157">
        <v>0</v>
      </c>
      <c r="AR99" s="157">
        <f t="shared" si="6"/>
        <v>0</v>
      </c>
      <c r="AS99" s="185" t="s">
        <v>614</v>
      </c>
    </row>
    <row r="100" spans="1:45">
      <c r="A100" s="160">
        <f t="shared" si="5"/>
        <v>45842</v>
      </c>
      <c r="B100" s="157">
        <f>YEAR(Table7[[#This Row],[Date]])+IF(MONTH(Table7[[#This Row],[Date]])&gt;=4,1,0)</f>
        <v>2026</v>
      </c>
      <c r="C100" s="157">
        <f>YEAR(Table7[[#This Row],[Date]])</f>
        <v>2025</v>
      </c>
      <c r="D100" s="159">
        <f t="shared" ref="D100:D163" si="7">A100-DAY(A100)+1</f>
        <v>45839</v>
      </c>
      <c r="E100" s="157">
        <v>0</v>
      </c>
      <c r="F100" s="157">
        <v>0</v>
      </c>
      <c r="G100" s="157">
        <v>0</v>
      </c>
      <c r="H100" s="157">
        <v>0</v>
      </c>
      <c r="I100" s="157">
        <v>0</v>
      </c>
      <c r="J100" s="157">
        <v>0</v>
      </c>
      <c r="K100" s="157">
        <v>0</v>
      </c>
      <c r="L100" s="157">
        <v>0</v>
      </c>
      <c r="M100" s="157">
        <v>0</v>
      </c>
      <c r="N100" s="157">
        <v>0</v>
      </c>
      <c r="O100" s="157">
        <v>0</v>
      </c>
      <c r="P100" s="157">
        <v>0</v>
      </c>
      <c r="Q100" s="157">
        <v>0</v>
      </c>
      <c r="R100" s="157">
        <v>0</v>
      </c>
      <c r="S100" s="157">
        <v>0</v>
      </c>
      <c r="T100" s="157">
        <v>0</v>
      </c>
      <c r="U100" s="157">
        <v>0</v>
      </c>
      <c r="V100" s="157">
        <v>0</v>
      </c>
      <c r="W100" s="157">
        <v>0</v>
      </c>
      <c r="X100" s="157">
        <v>0</v>
      </c>
      <c r="Y100" s="157">
        <v>0</v>
      </c>
      <c r="Z100" s="157">
        <v>0</v>
      </c>
      <c r="AA100" s="157">
        <v>0</v>
      </c>
      <c r="AB100" s="157">
        <v>0</v>
      </c>
      <c r="AC100" s="157">
        <v>0</v>
      </c>
      <c r="AD100" s="157">
        <v>0</v>
      </c>
      <c r="AE100" s="157">
        <v>0</v>
      </c>
      <c r="AF100" s="157">
        <v>0</v>
      </c>
      <c r="AG100" s="157">
        <v>0</v>
      </c>
      <c r="AH100" s="157">
        <v>0</v>
      </c>
      <c r="AI100" s="157">
        <v>0</v>
      </c>
      <c r="AJ100" s="157">
        <v>0</v>
      </c>
      <c r="AK100" s="157">
        <v>0</v>
      </c>
      <c r="AL100" s="157">
        <v>0</v>
      </c>
      <c r="AM100" s="157">
        <v>0</v>
      </c>
      <c r="AN100" s="157">
        <v>0</v>
      </c>
      <c r="AO100" s="157">
        <v>0</v>
      </c>
      <c r="AP100" s="157">
        <v>0</v>
      </c>
      <c r="AQ100" s="157">
        <v>0</v>
      </c>
      <c r="AR100" s="157">
        <f t="shared" si="6"/>
        <v>0</v>
      </c>
      <c r="AS100" s="185" t="s">
        <v>614</v>
      </c>
    </row>
    <row r="101" spans="1:45">
      <c r="A101" s="160">
        <f t="shared" si="5"/>
        <v>45843</v>
      </c>
      <c r="B101" s="157">
        <f>YEAR(Table7[[#This Row],[Date]])+IF(MONTH(Table7[[#This Row],[Date]])&gt;=4,1,0)</f>
        <v>2026</v>
      </c>
      <c r="C101" s="157">
        <f>YEAR(Table7[[#This Row],[Date]])</f>
        <v>2025</v>
      </c>
      <c r="D101" s="159">
        <f t="shared" si="7"/>
        <v>45839</v>
      </c>
      <c r="E101" s="157">
        <v>0</v>
      </c>
      <c r="F101" s="157">
        <v>0</v>
      </c>
      <c r="G101" s="157">
        <v>0</v>
      </c>
      <c r="H101" s="157">
        <v>0</v>
      </c>
      <c r="I101" s="157">
        <v>0</v>
      </c>
      <c r="J101" s="157">
        <v>0</v>
      </c>
      <c r="K101" s="157">
        <v>0</v>
      </c>
      <c r="L101" s="157">
        <v>0</v>
      </c>
      <c r="M101" s="157">
        <v>0</v>
      </c>
      <c r="N101" s="157">
        <v>0</v>
      </c>
      <c r="O101" s="157">
        <v>0</v>
      </c>
      <c r="P101" s="157">
        <v>0</v>
      </c>
      <c r="Q101" s="157">
        <v>0</v>
      </c>
      <c r="R101" s="157">
        <v>0</v>
      </c>
      <c r="S101" s="157">
        <v>0</v>
      </c>
      <c r="T101" s="157">
        <v>0</v>
      </c>
      <c r="U101" s="157">
        <v>0</v>
      </c>
      <c r="V101" s="157">
        <v>0</v>
      </c>
      <c r="W101" s="157">
        <v>0</v>
      </c>
      <c r="X101" s="157">
        <v>0</v>
      </c>
      <c r="Y101" s="157">
        <v>0</v>
      </c>
      <c r="Z101" s="157">
        <v>0</v>
      </c>
      <c r="AA101" s="157">
        <v>0</v>
      </c>
      <c r="AB101" s="157">
        <v>0</v>
      </c>
      <c r="AC101" s="157">
        <v>0</v>
      </c>
      <c r="AD101" s="157">
        <v>0</v>
      </c>
      <c r="AE101" s="157">
        <v>0</v>
      </c>
      <c r="AF101" s="157">
        <v>0</v>
      </c>
      <c r="AG101" s="157">
        <v>0</v>
      </c>
      <c r="AH101" s="157">
        <v>0</v>
      </c>
      <c r="AI101" s="157">
        <v>0</v>
      </c>
      <c r="AJ101" s="157">
        <v>0</v>
      </c>
      <c r="AK101" s="157">
        <v>0</v>
      </c>
      <c r="AL101" s="157">
        <v>0</v>
      </c>
      <c r="AM101" s="157">
        <v>0</v>
      </c>
      <c r="AN101" s="157">
        <v>0</v>
      </c>
      <c r="AO101" s="157">
        <v>0</v>
      </c>
      <c r="AP101" s="157">
        <v>0</v>
      </c>
      <c r="AQ101" s="157">
        <v>0</v>
      </c>
      <c r="AR101" s="157">
        <f t="shared" si="6"/>
        <v>0</v>
      </c>
      <c r="AS101" s="185" t="s">
        <v>614</v>
      </c>
    </row>
    <row r="102" spans="1:45">
      <c r="A102" s="160">
        <f t="shared" ref="A102:A165" si="8">A101+1</f>
        <v>45844</v>
      </c>
      <c r="B102" s="157">
        <f>YEAR(Table7[[#This Row],[Date]])+IF(MONTH(Table7[[#This Row],[Date]])&gt;=4,1,0)</f>
        <v>2026</v>
      </c>
      <c r="C102" s="157">
        <f>YEAR(Table7[[#This Row],[Date]])</f>
        <v>2025</v>
      </c>
      <c r="D102" s="159">
        <f t="shared" si="7"/>
        <v>45839</v>
      </c>
      <c r="E102" s="157">
        <v>0</v>
      </c>
      <c r="F102" s="157">
        <v>0</v>
      </c>
      <c r="G102" s="157">
        <v>0</v>
      </c>
      <c r="H102" s="157">
        <v>0</v>
      </c>
      <c r="I102" s="157">
        <v>0</v>
      </c>
      <c r="J102" s="157">
        <v>0</v>
      </c>
      <c r="K102" s="157">
        <v>0</v>
      </c>
      <c r="L102" s="157">
        <v>0</v>
      </c>
      <c r="M102" s="157">
        <v>0</v>
      </c>
      <c r="N102" s="157">
        <v>0</v>
      </c>
      <c r="O102" s="157">
        <v>0</v>
      </c>
      <c r="P102" s="157">
        <v>0</v>
      </c>
      <c r="Q102" s="157">
        <v>0</v>
      </c>
      <c r="R102" s="157">
        <v>0</v>
      </c>
      <c r="S102" s="157">
        <v>0</v>
      </c>
      <c r="T102" s="157">
        <v>0</v>
      </c>
      <c r="U102" s="157">
        <v>0</v>
      </c>
      <c r="V102" s="157">
        <v>0</v>
      </c>
      <c r="W102" s="157">
        <v>0</v>
      </c>
      <c r="X102" s="157">
        <v>0</v>
      </c>
      <c r="Y102" s="157">
        <v>0</v>
      </c>
      <c r="Z102" s="157">
        <v>0</v>
      </c>
      <c r="AA102" s="157">
        <v>0</v>
      </c>
      <c r="AB102" s="157">
        <v>0</v>
      </c>
      <c r="AC102" s="157">
        <v>0</v>
      </c>
      <c r="AD102" s="157">
        <v>0</v>
      </c>
      <c r="AE102" s="157">
        <v>0</v>
      </c>
      <c r="AF102" s="157">
        <v>0</v>
      </c>
      <c r="AG102" s="157">
        <v>0</v>
      </c>
      <c r="AH102" s="157">
        <v>0</v>
      </c>
      <c r="AI102" s="157">
        <v>0</v>
      </c>
      <c r="AJ102" s="157">
        <v>0</v>
      </c>
      <c r="AK102" s="157">
        <v>0</v>
      </c>
      <c r="AL102" s="157">
        <v>0</v>
      </c>
      <c r="AM102" s="157">
        <v>0</v>
      </c>
      <c r="AN102" s="157">
        <v>0</v>
      </c>
      <c r="AO102" s="157">
        <v>0</v>
      </c>
      <c r="AP102" s="157">
        <v>0</v>
      </c>
      <c r="AQ102" s="157">
        <v>0</v>
      </c>
      <c r="AR102" s="162">
        <f t="shared" si="6"/>
        <v>0</v>
      </c>
      <c r="AS102" s="185" t="s">
        <v>614</v>
      </c>
    </row>
    <row r="103" spans="1:45">
      <c r="A103" s="160">
        <f t="shared" si="8"/>
        <v>45845</v>
      </c>
      <c r="B103" s="157">
        <f>YEAR(Table7[[#This Row],[Date]])+IF(MONTH(Table7[[#This Row],[Date]])&gt;=4,1,0)</f>
        <v>2026</v>
      </c>
      <c r="C103" s="157">
        <f>YEAR(Table7[[#This Row],[Date]])</f>
        <v>2025</v>
      </c>
      <c r="D103" s="159">
        <f t="shared" si="7"/>
        <v>45839</v>
      </c>
      <c r="E103" s="162">
        <v>64.86486486486487</v>
      </c>
      <c r="F103" s="162">
        <v>64.86486486486487</v>
      </c>
      <c r="G103" s="162">
        <v>64.86486486486487</v>
      </c>
      <c r="H103" s="162">
        <v>64.86486486486487</v>
      </c>
      <c r="I103" s="162">
        <v>64.86486486486487</v>
      </c>
      <c r="J103" s="162">
        <v>64.86486486486487</v>
      </c>
      <c r="K103" s="162">
        <v>64.86486486486487</v>
      </c>
      <c r="L103" s="162">
        <v>64.86486486486487</v>
      </c>
      <c r="M103" s="162">
        <v>64.86486486486487</v>
      </c>
      <c r="N103" s="162">
        <v>64.86486486486487</v>
      </c>
      <c r="O103" s="162">
        <v>64.86486486486487</v>
      </c>
      <c r="P103" s="162">
        <v>64.86486486486487</v>
      </c>
      <c r="Q103" s="162">
        <v>64.86486486486487</v>
      </c>
      <c r="R103" s="162">
        <v>64.86486486486487</v>
      </c>
      <c r="S103" s="162">
        <v>64.86486486486487</v>
      </c>
      <c r="T103" s="162">
        <v>64.86486486486487</v>
      </c>
      <c r="U103" s="162">
        <v>0</v>
      </c>
      <c r="V103" s="162">
        <v>64.86486486486487</v>
      </c>
      <c r="W103" s="162">
        <v>64.86486486486487</v>
      </c>
      <c r="X103" s="162">
        <v>64.86486486486487</v>
      </c>
      <c r="Y103" s="162">
        <v>64.86486486486487</v>
      </c>
      <c r="Z103" s="162">
        <v>64.86486486486487</v>
      </c>
      <c r="AA103" s="162">
        <v>64.86486486486487</v>
      </c>
      <c r="AB103" s="162">
        <v>64.86486486486487</v>
      </c>
      <c r="AC103" s="162">
        <v>64.86486486486487</v>
      </c>
      <c r="AD103" s="162">
        <v>64.86486486486487</v>
      </c>
      <c r="AE103" s="162">
        <v>64.86486486486487</v>
      </c>
      <c r="AF103" s="162">
        <v>0</v>
      </c>
      <c r="AG103" s="162">
        <v>64.86486486486487</v>
      </c>
      <c r="AH103" s="162">
        <v>0</v>
      </c>
      <c r="AI103" s="162">
        <v>64.86486486486487</v>
      </c>
      <c r="AJ103" s="162">
        <v>64.86486486486487</v>
      </c>
      <c r="AK103" s="162">
        <v>64.86486486486487</v>
      </c>
      <c r="AL103" s="162">
        <v>64.86486486486487</v>
      </c>
      <c r="AM103" s="162">
        <v>64.86486486486487</v>
      </c>
      <c r="AN103" s="162">
        <v>64.86486486486487</v>
      </c>
      <c r="AO103" s="162">
        <v>64.86486486486487</v>
      </c>
      <c r="AP103" s="162">
        <v>64.86486486486487</v>
      </c>
      <c r="AQ103" s="162">
        <v>64.86486486486487</v>
      </c>
      <c r="AR103" s="162">
        <f t="shared" si="6"/>
        <v>2335.135135135135</v>
      </c>
      <c r="AS103" s="185" t="s">
        <v>614</v>
      </c>
    </row>
    <row r="104" spans="1:45">
      <c r="A104" s="160">
        <f t="shared" si="8"/>
        <v>45846</v>
      </c>
      <c r="B104" s="157">
        <f>YEAR(Table7[[#This Row],[Date]])+IF(MONTH(Table7[[#This Row],[Date]])&gt;=4,1,0)</f>
        <v>2026</v>
      </c>
      <c r="C104" s="157">
        <f>YEAR(Table7[[#This Row],[Date]])</f>
        <v>2025</v>
      </c>
      <c r="D104" s="159">
        <f t="shared" si="7"/>
        <v>45839</v>
      </c>
      <c r="E104" s="157">
        <v>0</v>
      </c>
      <c r="F104" s="157">
        <v>0</v>
      </c>
      <c r="G104" s="157">
        <v>0</v>
      </c>
      <c r="H104" s="157">
        <v>0</v>
      </c>
      <c r="I104" s="157">
        <v>0</v>
      </c>
      <c r="J104" s="157">
        <v>0</v>
      </c>
      <c r="K104" s="157">
        <v>0</v>
      </c>
      <c r="L104" s="157">
        <v>0</v>
      </c>
      <c r="M104" s="157">
        <v>0</v>
      </c>
      <c r="N104" s="157">
        <v>0</v>
      </c>
      <c r="O104" s="157">
        <v>0</v>
      </c>
      <c r="P104" s="157">
        <v>0</v>
      </c>
      <c r="Q104" s="157">
        <v>0</v>
      </c>
      <c r="R104" s="157">
        <v>0</v>
      </c>
      <c r="S104" s="157">
        <v>0</v>
      </c>
      <c r="T104" s="157">
        <v>0</v>
      </c>
      <c r="U104" s="157">
        <v>0</v>
      </c>
      <c r="V104" s="157">
        <v>0</v>
      </c>
      <c r="W104" s="157">
        <v>0</v>
      </c>
      <c r="X104" s="157">
        <v>0</v>
      </c>
      <c r="Y104" s="157">
        <v>0</v>
      </c>
      <c r="Z104" s="157">
        <v>0</v>
      </c>
      <c r="AA104" s="157">
        <v>0</v>
      </c>
      <c r="AB104" s="157">
        <v>0</v>
      </c>
      <c r="AC104" s="157">
        <v>0</v>
      </c>
      <c r="AD104" s="157">
        <v>0</v>
      </c>
      <c r="AE104" s="157">
        <v>0</v>
      </c>
      <c r="AF104" s="157">
        <v>0</v>
      </c>
      <c r="AG104" s="157">
        <v>0</v>
      </c>
      <c r="AH104" s="157">
        <v>0</v>
      </c>
      <c r="AI104" s="157">
        <v>0</v>
      </c>
      <c r="AJ104" s="157">
        <v>0</v>
      </c>
      <c r="AK104" s="157">
        <v>0</v>
      </c>
      <c r="AL104" s="157">
        <v>0</v>
      </c>
      <c r="AM104" s="157">
        <v>0</v>
      </c>
      <c r="AN104" s="157">
        <v>0</v>
      </c>
      <c r="AO104" s="157">
        <v>0</v>
      </c>
      <c r="AP104" s="157">
        <v>0</v>
      </c>
      <c r="AQ104" s="157">
        <v>0</v>
      </c>
      <c r="AR104" s="157">
        <f t="shared" si="6"/>
        <v>0</v>
      </c>
      <c r="AS104" s="185" t="s">
        <v>614</v>
      </c>
    </row>
    <row r="105" spans="1:45">
      <c r="A105" s="160">
        <f t="shared" si="8"/>
        <v>45847</v>
      </c>
      <c r="B105" s="157">
        <f>YEAR(Table7[[#This Row],[Date]])+IF(MONTH(Table7[[#This Row],[Date]])&gt;=4,1,0)</f>
        <v>2026</v>
      </c>
      <c r="C105" s="157">
        <f>YEAR(Table7[[#This Row],[Date]])</f>
        <v>2025</v>
      </c>
      <c r="D105" s="159">
        <f t="shared" si="7"/>
        <v>45839</v>
      </c>
      <c r="E105" s="157">
        <v>0</v>
      </c>
      <c r="F105" s="157">
        <v>0</v>
      </c>
      <c r="G105" s="157">
        <v>0</v>
      </c>
      <c r="H105" s="157">
        <v>0</v>
      </c>
      <c r="I105" s="157">
        <v>0</v>
      </c>
      <c r="J105" s="157">
        <v>0</v>
      </c>
      <c r="K105" s="157">
        <v>0</v>
      </c>
      <c r="L105" s="157">
        <v>0</v>
      </c>
      <c r="M105" s="157">
        <v>0</v>
      </c>
      <c r="N105" s="157">
        <v>0</v>
      </c>
      <c r="O105" s="157">
        <v>0</v>
      </c>
      <c r="P105" s="157">
        <v>0</v>
      </c>
      <c r="Q105" s="157">
        <v>0</v>
      </c>
      <c r="R105" s="157">
        <v>0</v>
      </c>
      <c r="S105" s="157">
        <v>0</v>
      </c>
      <c r="T105" s="157">
        <v>0</v>
      </c>
      <c r="U105" s="157">
        <v>0</v>
      </c>
      <c r="V105" s="157">
        <v>0</v>
      </c>
      <c r="W105" s="157">
        <v>0</v>
      </c>
      <c r="X105" s="157">
        <v>0</v>
      </c>
      <c r="Y105" s="157">
        <v>0</v>
      </c>
      <c r="Z105" s="157">
        <v>0</v>
      </c>
      <c r="AA105" s="157">
        <v>0</v>
      </c>
      <c r="AB105" s="157">
        <v>0</v>
      </c>
      <c r="AC105" s="157">
        <v>0</v>
      </c>
      <c r="AD105" s="157">
        <v>0</v>
      </c>
      <c r="AE105" s="157">
        <v>0</v>
      </c>
      <c r="AF105" s="157">
        <v>0</v>
      </c>
      <c r="AG105" s="157">
        <v>0</v>
      </c>
      <c r="AH105" s="157">
        <v>0</v>
      </c>
      <c r="AI105" s="157">
        <v>0</v>
      </c>
      <c r="AJ105" s="157">
        <v>0</v>
      </c>
      <c r="AK105" s="157">
        <v>0</v>
      </c>
      <c r="AL105" s="157">
        <v>0</v>
      </c>
      <c r="AM105" s="157">
        <v>0</v>
      </c>
      <c r="AN105" s="157">
        <v>0</v>
      </c>
      <c r="AO105" s="157">
        <v>0</v>
      </c>
      <c r="AP105" s="157">
        <v>0</v>
      </c>
      <c r="AQ105" s="157">
        <v>0</v>
      </c>
      <c r="AR105" s="157">
        <f t="shared" si="6"/>
        <v>0</v>
      </c>
      <c r="AS105" s="185" t="s">
        <v>614</v>
      </c>
    </row>
    <row r="106" spans="1:45">
      <c r="A106" s="160">
        <f t="shared" si="8"/>
        <v>45848</v>
      </c>
      <c r="B106" s="157">
        <f>YEAR(Table7[[#This Row],[Date]])+IF(MONTH(Table7[[#This Row],[Date]])&gt;=4,1,0)</f>
        <v>2026</v>
      </c>
      <c r="C106" s="157">
        <f>YEAR(Table7[[#This Row],[Date]])</f>
        <v>2025</v>
      </c>
      <c r="D106" s="159">
        <f t="shared" si="7"/>
        <v>45839</v>
      </c>
      <c r="E106" s="162">
        <v>32.43</v>
      </c>
      <c r="F106" s="162">
        <v>32.43</v>
      </c>
      <c r="G106" s="162">
        <v>32.43</v>
      </c>
      <c r="H106" s="162">
        <v>32.43</v>
      </c>
      <c r="I106" s="162">
        <v>32.43</v>
      </c>
      <c r="J106" s="162">
        <v>32.43</v>
      </c>
      <c r="K106" s="162">
        <v>32.43</v>
      </c>
      <c r="L106" s="162">
        <v>32.43</v>
      </c>
      <c r="M106" s="157">
        <v>32</v>
      </c>
      <c r="N106" s="162">
        <v>32.43</v>
      </c>
      <c r="O106" s="162">
        <v>32.43</v>
      </c>
      <c r="P106" s="162">
        <v>32.43</v>
      </c>
      <c r="Q106" s="162">
        <v>32.43</v>
      </c>
      <c r="R106" s="162">
        <v>32.43</v>
      </c>
      <c r="S106" s="162">
        <v>32.43</v>
      </c>
      <c r="T106" s="162">
        <v>32.43</v>
      </c>
      <c r="U106" s="162">
        <v>0</v>
      </c>
      <c r="V106" s="162">
        <v>32.43</v>
      </c>
      <c r="W106" s="162">
        <v>32.43</v>
      </c>
      <c r="X106" s="162">
        <v>32.43</v>
      </c>
      <c r="Y106" s="162">
        <v>32.43</v>
      </c>
      <c r="Z106" s="162">
        <v>32.43</v>
      </c>
      <c r="AA106" s="162">
        <v>32.43</v>
      </c>
      <c r="AB106" s="162">
        <v>32.43</v>
      </c>
      <c r="AC106" s="162">
        <v>32.43</v>
      </c>
      <c r="AD106" s="157">
        <v>32</v>
      </c>
      <c r="AE106" s="162">
        <v>32.43</v>
      </c>
      <c r="AF106" s="162">
        <v>0</v>
      </c>
      <c r="AG106" s="162">
        <v>32.43</v>
      </c>
      <c r="AH106" s="162">
        <v>0</v>
      </c>
      <c r="AI106" s="162">
        <v>32.43</v>
      </c>
      <c r="AJ106" s="162">
        <v>32.43</v>
      </c>
      <c r="AK106" s="162">
        <v>32.43</v>
      </c>
      <c r="AL106" s="162">
        <v>32.43</v>
      </c>
      <c r="AM106" s="157">
        <v>32</v>
      </c>
      <c r="AN106" s="157">
        <v>32</v>
      </c>
      <c r="AO106" s="157">
        <v>32</v>
      </c>
      <c r="AP106" s="157">
        <v>32</v>
      </c>
      <c r="AQ106" s="157">
        <v>32</v>
      </c>
      <c r="AR106" s="157">
        <f t="shared" si="6"/>
        <v>1164.4699999999993</v>
      </c>
      <c r="AS106" s="185" t="s">
        <v>614</v>
      </c>
    </row>
    <row r="107" spans="1:45">
      <c r="A107" s="160">
        <f t="shared" si="8"/>
        <v>45849</v>
      </c>
      <c r="B107" s="157">
        <f>YEAR(Table7[[#This Row],[Date]])+IF(MONTH(Table7[[#This Row],[Date]])&gt;=4,1,0)</f>
        <v>2026</v>
      </c>
      <c r="C107" s="157">
        <f>YEAR(Table7[[#This Row],[Date]])</f>
        <v>2025</v>
      </c>
      <c r="D107" s="159">
        <f t="shared" si="7"/>
        <v>45839</v>
      </c>
      <c r="AR107" s="157">
        <f t="shared" si="6"/>
        <v>0</v>
      </c>
    </row>
    <row r="108" spans="1:45">
      <c r="A108" s="160">
        <f t="shared" si="8"/>
        <v>45850</v>
      </c>
      <c r="B108" s="157">
        <f>YEAR(Table7[[#This Row],[Date]])+IF(MONTH(Table7[[#This Row],[Date]])&gt;=4,1,0)</f>
        <v>2026</v>
      </c>
      <c r="C108" s="157">
        <f>YEAR(Table7[[#This Row],[Date]])</f>
        <v>2025</v>
      </c>
      <c r="D108" s="159">
        <f t="shared" si="7"/>
        <v>45839</v>
      </c>
      <c r="AR108" s="157">
        <f t="shared" si="6"/>
        <v>0</v>
      </c>
    </row>
    <row r="109" spans="1:45">
      <c r="A109" s="160">
        <f t="shared" si="8"/>
        <v>45851</v>
      </c>
      <c r="B109" s="157">
        <f>YEAR(Table7[[#This Row],[Date]])+IF(MONTH(Table7[[#This Row],[Date]])&gt;=4,1,0)</f>
        <v>2026</v>
      </c>
      <c r="C109" s="157">
        <f>YEAR(Table7[[#This Row],[Date]])</f>
        <v>2025</v>
      </c>
      <c r="D109" s="159">
        <f t="shared" si="7"/>
        <v>45839</v>
      </c>
      <c r="AR109" s="157">
        <f t="shared" si="6"/>
        <v>0</v>
      </c>
    </row>
    <row r="110" spans="1:45">
      <c r="A110" s="160">
        <f t="shared" si="8"/>
        <v>45852</v>
      </c>
      <c r="B110" s="157">
        <f>YEAR(Table7[[#This Row],[Date]])+IF(MONTH(Table7[[#This Row],[Date]])&gt;=4,1,0)</f>
        <v>2026</v>
      </c>
      <c r="C110" s="157">
        <f>YEAR(Table7[[#This Row],[Date]])</f>
        <v>2025</v>
      </c>
      <c r="D110" s="159">
        <f t="shared" si="7"/>
        <v>45839</v>
      </c>
      <c r="AR110" s="157">
        <f t="shared" si="6"/>
        <v>0</v>
      </c>
    </row>
    <row r="111" spans="1:45">
      <c r="A111" s="160">
        <f t="shared" si="8"/>
        <v>45853</v>
      </c>
      <c r="B111" s="157">
        <f>YEAR(Table7[[#This Row],[Date]])+IF(MONTH(Table7[[#This Row],[Date]])&gt;=4,1,0)</f>
        <v>2026</v>
      </c>
      <c r="C111" s="157">
        <f>YEAR(Table7[[#This Row],[Date]])</f>
        <v>2025</v>
      </c>
      <c r="D111" s="159">
        <f t="shared" si="7"/>
        <v>45839</v>
      </c>
      <c r="AR111" s="157">
        <f t="shared" si="6"/>
        <v>0</v>
      </c>
    </row>
    <row r="112" spans="1:45">
      <c r="A112" s="160">
        <f t="shared" si="8"/>
        <v>45854</v>
      </c>
      <c r="B112" s="157">
        <f>YEAR(Table7[[#This Row],[Date]])+IF(MONTH(Table7[[#This Row],[Date]])&gt;=4,1,0)</f>
        <v>2026</v>
      </c>
      <c r="C112" s="157">
        <f>YEAR(Table7[[#This Row],[Date]])</f>
        <v>2025</v>
      </c>
      <c r="D112" s="159">
        <f t="shared" si="7"/>
        <v>45839</v>
      </c>
      <c r="AR112" s="157">
        <f t="shared" si="6"/>
        <v>0</v>
      </c>
    </row>
    <row r="113" spans="1:44">
      <c r="A113" s="160">
        <f t="shared" si="8"/>
        <v>45855</v>
      </c>
      <c r="B113" s="157">
        <f>YEAR(Table7[[#This Row],[Date]])+IF(MONTH(Table7[[#This Row],[Date]])&gt;=4,1,0)</f>
        <v>2026</v>
      </c>
      <c r="C113" s="157">
        <f>YEAR(Table7[[#This Row],[Date]])</f>
        <v>2025</v>
      </c>
      <c r="D113" s="159">
        <f t="shared" si="7"/>
        <v>45839</v>
      </c>
      <c r="AR113" s="157">
        <f t="shared" si="6"/>
        <v>0</v>
      </c>
    </row>
    <row r="114" spans="1:44">
      <c r="A114" s="160">
        <f t="shared" si="8"/>
        <v>45856</v>
      </c>
      <c r="B114" s="157">
        <f>YEAR(Table7[[#This Row],[Date]])+IF(MONTH(Table7[[#This Row],[Date]])&gt;=4,1,0)</f>
        <v>2026</v>
      </c>
      <c r="C114" s="157">
        <f>YEAR(Table7[[#This Row],[Date]])</f>
        <v>2025</v>
      </c>
      <c r="D114" s="159">
        <f t="shared" si="7"/>
        <v>45839</v>
      </c>
      <c r="AR114" s="157">
        <f t="shared" si="6"/>
        <v>0</v>
      </c>
    </row>
    <row r="115" spans="1:44">
      <c r="A115" s="160">
        <f t="shared" si="8"/>
        <v>45857</v>
      </c>
      <c r="B115" s="157">
        <f>YEAR(Table7[[#This Row],[Date]])+IF(MONTH(Table7[[#This Row],[Date]])&gt;=4,1,0)</f>
        <v>2026</v>
      </c>
      <c r="C115" s="157">
        <f>YEAR(Table7[[#This Row],[Date]])</f>
        <v>2025</v>
      </c>
      <c r="D115" s="159">
        <f t="shared" si="7"/>
        <v>45839</v>
      </c>
      <c r="AR115" s="157">
        <f t="shared" si="6"/>
        <v>0</v>
      </c>
    </row>
    <row r="116" spans="1:44">
      <c r="A116" s="160">
        <f t="shared" si="8"/>
        <v>45858</v>
      </c>
      <c r="B116" s="157">
        <f>YEAR(Table7[[#This Row],[Date]])+IF(MONTH(Table7[[#This Row],[Date]])&gt;=4,1,0)</f>
        <v>2026</v>
      </c>
      <c r="C116" s="157">
        <f>YEAR(Table7[[#This Row],[Date]])</f>
        <v>2025</v>
      </c>
      <c r="D116" s="159">
        <f t="shared" si="7"/>
        <v>45839</v>
      </c>
      <c r="AR116" s="157">
        <f t="shared" si="6"/>
        <v>0</v>
      </c>
    </row>
    <row r="117" spans="1:44">
      <c r="A117" s="160">
        <f t="shared" si="8"/>
        <v>45859</v>
      </c>
      <c r="B117" s="157">
        <f>YEAR(Table7[[#This Row],[Date]])+IF(MONTH(Table7[[#This Row],[Date]])&gt;=4,1,0)</f>
        <v>2026</v>
      </c>
      <c r="C117" s="157">
        <f>YEAR(Table7[[#This Row],[Date]])</f>
        <v>2025</v>
      </c>
      <c r="D117" s="159">
        <f t="shared" si="7"/>
        <v>45839</v>
      </c>
      <c r="AR117" s="157">
        <f t="shared" si="6"/>
        <v>0</v>
      </c>
    </row>
    <row r="118" spans="1:44">
      <c r="A118" s="160">
        <f t="shared" si="8"/>
        <v>45860</v>
      </c>
      <c r="B118" s="157">
        <f>YEAR(Table7[[#This Row],[Date]])+IF(MONTH(Table7[[#This Row],[Date]])&gt;=4,1,0)</f>
        <v>2026</v>
      </c>
      <c r="C118" s="157">
        <f>YEAR(Table7[[#This Row],[Date]])</f>
        <v>2025</v>
      </c>
      <c r="D118" s="159">
        <f t="shared" si="7"/>
        <v>45839</v>
      </c>
      <c r="AR118" s="157">
        <f t="shared" si="6"/>
        <v>0</v>
      </c>
    </row>
    <row r="119" spans="1:44">
      <c r="A119" s="160">
        <f t="shared" si="8"/>
        <v>45861</v>
      </c>
      <c r="B119" s="157">
        <f>YEAR(Table7[[#This Row],[Date]])+IF(MONTH(Table7[[#This Row],[Date]])&gt;=4,1,0)</f>
        <v>2026</v>
      </c>
      <c r="C119" s="157">
        <f>YEAR(Table7[[#This Row],[Date]])</f>
        <v>2025</v>
      </c>
      <c r="D119" s="159">
        <f t="shared" si="7"/>
        <v>45839</v>
      </c>
      <c r="AR119" s="157">
        <f t="shared" si="6"/>
        <v>0</v>
      </c>
    </row>
    <row r="120" spans="1:44">
      <c r="A120" s="160">
        <f t="shared" si="8"/>
        <v>45862</v>
      </c>
      <c r="B120" s="157">
        <f>YEAR(Table7[[#This Row],[Date]])+IF(MONTH(Table7[[#This Row],[Date]])&gt;=4,1,0)</f>
        <v>2026</v>
      </c>
      <c r="C120" s="157">
        <f>YEAR(Table7[[#This Row],[Date]])</f>
        <v>2025</v>
      </c>
      <c r="D120" s="159">
        <f t="shared" si="7"/>
        <v>45839</v>
      </c>
      <c r="AR120" s="157">
        <f t="shared" si="6"/>
        <v>0</v>
      </c>
    </row>
    <row r="121" spans="1:44">
      <c r="A121" s="160">
        <f t="shared" si="8"/>
        <v>45863</v>
      </c>
      <c r="B121" s="157">
        <f>YEAR(Table7[[#This Row],[Date]])+IF(MONTH(Table7[[#This Row],[Date]])&gt;=4,1,0)</f>
        <v>2026</v>
      </c>
      <c r="C121" s="157">
        <f>YEAR(Table7[[#This Row],[Date]])</f>
        <v>2025</v>
      </c>
      <c r="D121" s="159">
        <f t="shared" si="7"/>
        <v>45839</v>
      </c>
      <c r="AR121" s="157">
        <f t="shared" si="6"/>
        <v>0</v>
      </c>
    </row>
    <row r="122" spans="1:44">
      <c r="A122" s="160">
        <f t="shared" si="8"/>
        <v>45864</v>
      </c>
      <c r="B122" s="157">
        <f>YEAR(Table7[[#This Row],[Date]])+IF(MONTH(Table7[[#This Row],[Date]])&gt;=4,1,0)</f>
        <v>2026</v>
      </c>
      <c r="C122" s="157">
        <f>YEAR(Table7[[#This Row],[Date]])</f>
        <v>2025</v>
      </c>
      <c r="D122" s="159">
        <f t="shared" si="7"/>
        <v>45839</v>
      </c>
      <c r="AR122" s="157">
        <f t="shared" si="6"/>
        <v>0</v>
      </c>
    </row>
    <row r="123" spans="1:44">
      <c r="A123" s="160">
        <f t="shared" si="8"/>
        <v>45865</v>
      </c>
      <c r="B123" s="157">
        <f>YEAR(Table7[[#This Row],[Date]])+IF(MONTH(Table7[[#This Row],[Date]])&gt;=4,1,0)</f>
        <v>2026</v>
      </c>
      <c r="C123" s="157">
        <f>YEAR(Table7[[#This Row],[Date]])</f>
        <v>2025</v>
      </c>
      <c r="D123" s="159">
        <f t="shared" si="7"/>
        <v>45839</v>
      </c>
      <c r="AR123" s="157">
        <f t="shared" si="6"/>
        <v>0</v>
      </c>
    </row>
    <row r="124" spans="1:44">
      <c r="A124" s="160">
        <f t="shared" si="8"/>
        <v>45866</v>
      </c>
      <c r="B124" s="157">
        <f>YEAR(Table7[[#This Row],[Date]])+IF(MONTH(Table7[[#This Row],[Date]])&gt;=4,1,0)</f>
        <v>2026</v>
      </c>
      <c r="C124" s="157">
        <f>YEAR(Table7[[#This Row],[Date]])</f>
        <v>2025</v>
      </c>
      <c r="D124" s="159">
        <f t="shared" si="7"/>
        <v>45839</v>
      </c>
      <c r="AR124" s="157">
        <f t="shared" si="6"/>
        <v>0</v>
      </c>
    </row>
    <row r="125" spans="1:44">
      <c r="A125" s="160">
        <f t="shared" si="8"/>
        <v>45867</v>
      </c>
      <c r="B125" s="157">
        <f>YEAR(Table7[[#This Row],[Date]])+IF(MONTH(Table7[[#This Row],[Date]])&gt;=4,1,0)</f>
        <v>2026</v>
      </c>
      <c r="C125" s="157">
        <f>YEAR(Table7[[#This Row],[Date]])</f>
        <v>2025</v>
      </c>
      <c r="D125" s="159">
        <f t="shared" si="7"/>
        <v>45839</v>
      </c>
      <c r="AR125" s="157">
        <f t="shared" si="6"/>
        <v>0</v>
      </c>
    </row>
    <row r="126" spans="1:44">
      <c r="A126" s="160">
        <f t="shared" si="8"/>
        <v>45868</v>
      </c>
      <c r="B126" s="157">
        <f>YEAR(Table7[[#This Row],[Date]])+IF(MONTH(Table7[[#This Row],[Date]])&gt;=4,1,0)</f>
        <v>2026</v>
      </c>
      <c r="C126" s="157">
        <f>YEAR(Table7[[#This Row],[Date]])</f>
        <v>2025</v>
      </c>
      <c r="D126" s="159">
        <f t="shared" si="7"/>
        <v>45839</v>
      </c>
      <c r="AR126" s="157">
        <f t="shared" si="6"/>
        <v>0</v>
      </c>
    </row>
    <row r="127" spans="1:44">
      <c r="A127" s="160">
        <f t="shared" si="8"/>
        <v>45869</v>
      </c>
      <c r="B127" s="157">
        <f>YEAR(Table7[[#This Row],[Date]])+IF(MONTH(Table7[[#This Row],[Date]])&gt;=4,1,0)</f>
        <v>2026</v>
      </c>
      <c r="C127" s="157">
        <f>YEAR(Table7[[#This Row],[Date]])</f>
        <v>2025</v>
      </c>
      <c r="D127" s="159">
        <f t="shared" si="7"/>
        <v>45839</v>
      </c>
      <c r="AR127" s="157">
        <f t="shared" si="6"/>
        <v>0</v>
      </c>
    </row>
    <row r="128" spans="1:44">
      <c r="A128" s="160">
        <f t="shared" si="8"/>
        <v>45870</v>
      </c>
      <c r="B128" s="157">
        <f>YEAR(Table7[[#This Row],[Date]])+IF(MONTH(Table7[[#This Row],[Date]])&gt;=4,1,0)</f>
        <v>2026</v>
      </c>
      <c r="C128" s="157">
        <f>YEAR(Table7[[#This Row],[Date]])</f>
        <v>2025</v>
      </c>
      <c r="D128" s="159">
        <f t="shared" si="7"/>
        <v>45870</v>
      </c>
      <c r="AR128" s="157">
        <f t="shared" si="6"/>
        <v>0</v>
      </c>
    </row>
    <row r="129" spans="1:44">
      <c r="A129" s="160">
        <f t="shared" si="8"/>
        <v>45871</v>
      </c>
      <c r="B129" s="157">
        <f>YEAR(Table7[[#This Row],[Date]])+IF(MONTH(Table7[[#This Row],[Date]])&gt;=4,1,0)</f>
        <v>2026</v>
      </c>
      <c r="C129" s="157">
        <f>YEAR(Table7[[#This Row],[Date]])</f>
        <v>2025</v>
      </c>
      <c r="D129" s="159">
        <f t="shared" si="7"/>
        <v>45870</v>
      </c>
      <c r="AR129" s="157">
        <f t="shared" si="6"/>
        <v>0</v>
      </c>
    </row>
    <row r="130" spans="1:44">
      <c r="A130" s="160">
        <f t="shared" si="8"/>
        <v>45872</v>
      </c>
      <c r="B130" s="157">
        <f>YEAR(Table7[[#This Row],[Date]])+IF(MONTH(Table7[[#This Row],[Date]])&gt;=4,1,0)</f>
        <v>2026</v>
      </c>
      <c r="C130" s="157">
        <f>YEAR(Table7[[#This Row],[Date]])</f>
        <v>2025</v>
      </c>
      <c r="D130" s="159">
        <f t="shared" si="7"/>
        <v>45870</v>
      </c>
      <c r="AR130" s="157">
        <f t="shared" si="6"/>
        <v>0</v>
      </c>
    </row>
    <row r="131" spans="1:44">
      <c r="A131" s="160">
        <f t="shared" si="8"/>
        <v>45873</v>
      </c>
      <c r="B131" s="157">
        <f>YEAR(Table7[[#This Row],[Date]])+IF(MONTH(Table7[[#This Row],[Date]])&gt;=4,1,0)</f>
        <v>2026</v>
      </c>
      <c r="C131" s="157">
        <f>YEAR(Table7[[#This Row],[Date]])</f>
        <v>2025</v>
      </c>
      <c r="D131" s="159">
        <f t="shared" si="7"/>
        <v>45870</v>
      </c>
      <c r="AR131" s="157">
        <f t="shared" ref="AR131:AR194" si="9">SUM(E131:AQ131)</f>
        <v>0</v>
      </c>
    </row>
    <row r="132" spans="1:44">
      <c r="A132" s="160">
        <f t="shared" si="8"/>
        <v>45874</v>
      </c>
      <c r="B132" s="157">
        <f>YEAR(Table7[[#This Row],[Date]])+IF(MONTH(Table7[[#This Row],[Date]])&gt;=4,1,0)</f>
        <v>2026</v>
      </c>
      <c r="C132" s="157">
        <f>YEAR(Table7[[#This Row],[Date]])</f>
        <v>2025</v>
      </c>
      <c r="D132" s="159">
        <f t="shared" si="7"/>
        <v>45870</v>
      </c>
      <c r="AR132" s="157">
        <f t="shared" si="9"/>
        <v>0</v>
      </c>
    </row>
    <row r="133" spans="1:44">
      <c r="A133" s="160">
        <f t="shared" si="8"/>
        <v>45875</v>
      </c>
      <c r="B133" s="157">
        <f>YEAR(Table7[[#This Row],[Date]])+IF(MONTH(Table7[[#This Row],[Date]])&gt;=4,1,0)</f>
        <v>2026</v>
      </c>
      <c r="C133" s="157">
        <f>YEAR(Table7[[#This Row],[Date]])</f>
        <v>2025</v>
      </c>
      <c r="D133" s="159">
        <f t="shared" si="7"/>
        <v>45870</v>
      </c>
      <c r="AR133" s="157">
        <f t="shared" si="9"/>
        <v>0</v>
      </c>
    </row>
    <row r="134" spans="1:44">
      <c r="A134" s="160">
        <f t="shared" si="8"/>
        <v>45876</v>
      </c>
      <c r="B134" s="157">
        <f>YEAR(Table7[[#This Row],[Date]])+IF(MONTH(Table7[[#This Row],[Date]])&gt;=4,1,0)</f>
        <v>2026</v>
      </c>
      <c r="C134" s="157">
        <f>YEAR(Table7[[#This Row],[Date]])</f>
        <v>2025</v>
      </c>
      <c r="D134" s="159">
        <f t="shared" si="7"/>
        <v>45870</v>
      </c>
      <c r="AR134" s="157">
        <f t="shared" si="9"/>
        <v>0</v>
      </c>
    </row>
    <row r="135" spans="1:44">
      <c r="A135" s="160">
        <f t="shared" si="8"/>
        <v>45877</v>
      </c>
      <c r="B135" s="157">
        <f>YEAR(Table7[[#This Row],[Date]])+IF(MONTH(Table7[[#This Row],[Date]])&gt;=4,1,0)</f>
        <v>2026</v>
      </c>
      <c r="C135" s="157">
        <f>YEAR(Table7[[#This Row],[Date]])</f>
        <v>2025</v>
      </c>
      <c r="D135" s="159">
        <f t="shared" si="7"/>
        <v>45870</v>
      </c>
      <c r="AR135" s="157">
        <f t="shared" si="9"/>
        <v>0</v>
      </c>
    </row>
    <row r="136" spans="1:44">
      <c r="A136" s="160">
        <f t="shared" si="8"/>
        <v>45878</v>
      </c>
      <c r="B136" s="157">
        <f>YEAR(Table7[[#This Row],[Date]])+IF(MONTH(Table7[[#This Row],[Date]])&gt;=4,1,0)</f>
        <v>2026</v>
      </c>
      <c r="C136" s="157">
        <f>YEAR(Table7[[#This Row],[Date]])</f>
        <v>2025</v>
      </c>
      <c r="D136" s="159">
        <f t="shared" si="7"/>
        <v>45870</v>
      </c>
      <c r="AR136" s="157">
        <f t="shared" si="9"/>
        <v>0</v>
      </c>
    </row>
    <row r="137" spans="1:44">
      <c r="A137" s="160">
        <f t="shared" si="8"/>
        <v>45879</v>
      </c>
      <c r="B137" s="157">
        <f>YEAR(Table7[[#This Row],[Date]])+IF(MONTH(Table7[[#This Row],[Date]])&gt;=4,1,0)</f>
        <v>2026</v>
      </c>
      <c r="C137" s="157">
        <f>YEAR(Table7[[#This Row],[Date]])</f>
        <v>2025</v>
      </c>
      <c r="D137" s="159">
        <f t="shared" si="7"/>
        <v>45870</v>
      </c>
      <c r="AR137" s="157">
        <f t="shared" si="9"/>
        <v>0</v>
      </c>
    </row>
    <row r="138" spans="1:44">
      <c r="A138" s="160">
        <f t="shared" si="8"/>
        <v>45880</v>
      </c>
      <c r="B138" s="157">
        <f>YEAR(Table7[[#This Row],[Date]])+IF(MONTH(Table7[[#This Row],[Date]])&gt;=4,1,0)</f>
        <v>2026</v>
      </c>
      <c r="C138" s="157">
        <f>YEAR(Table7[[#This Row],[Date]])</f>
        <v>2025</v>
      </c>
      <c r="D138" s="159">
        <f t="shared" si="7"/>
        <v>45870</v>
      </c>
      <c r="AR138" s="157">
        <f t="shared" si="9"/>
        <v>0</v>
      </c>
    </row>
    <row r="139" spans="1:44">
      <c r="A139" s="160">
        <f t="shared" si="8"/>
        <v>45881</v>
      </c>
      <c r="B139" s="157">
        <f>YEAR(Table7[[#This Row],[Date]])+IF(MONTH(Table7[[#This Row],[Date]])&gt;=4,1,0)</f>
        <v>2026</v>
      </c>
      <c r="C139" s="157">
        <f>YEAR(Table7[[#This Row],[Date]])</f>
        <v>2025</v>
      </c>
      <c r="D139" s="159">
        <f t="shared" si="7"/>
        <v>45870</v>
      </c>
      <c r="AR139" s="157">
        <f t="shared" si="9"/>
        <v>0</v>
      </c>
    </row>
    <row r="140" spans="1:44">
      <c r="A140" s="160">
        <f t="shared" si="8"/>
        <v>45882</v>
      </c>
      <c r="B140" s="157">
        <f>YEAR(Table7[[#This Row],[Date]])+IF(MONTH(Table7[[#This Row],[Date]])&gt;=4,1,0)</f>
        <v>2026</v>
      </c>
      <c r="C140" s="157">
        <f>YEAR(Table7[[#This Row],[Date]])</f>
        <v>2025</v>
      </c>
      <c r="D140" s="159">
        <f t="shared" si="7"/>
        <v>45870</v>
      </c>
      <c r="AR140" s="157">
        <f t="shared" si="9"/>
        <v>0</v>
      </c>
    </row>
    <row r="141" spans="1:44">
      <c r="A141" s="160">
        <f t="shared" si="8"/>
        <v>45883</v>
      </c>
      <c r="B141" s="157">
        <f>YEAR(Table7[[#This Row],[Date]])+IF(MONTH(Table7[[#This Row],[Date]])&gt;=4,1,0)</f>
        <v>2026</v>
      </c>
      <c r="C141" s="157">
        <f>YEAR(Table7[[#This Row],[Date]])</f>
        <v>2025</v>
      </c>
      <c r="D141" s="159">
        <f t="shared" si="7"/>
        <v>45870</v>
      </c>
      <c r="AR141" s="157">
        <f t="shared" si="9"/>
        <v>0</v>
      </c>
    </row>
    <row r="142" spans="1:44">
      <c r="A142" s="160">
        <f t="shared" si="8"/>
        <v>45884</v>
      </c>
      <c r="B142" s="157">
        <f>YEAR(Table7[[#This Row],[Date]])+IF(MONTH(Table7[[#This Row],[Date]])&gt;=4,1,0)</f>
        <v>2026</v>
      </c>
      <c r="C142" s="157">
        <f>YEAR(Table7[[#This Row],[Date]])</f>
        <v>2025</v>
      </c>
      <c r="D142" s="159">
        <f t="shared" si="7"/>
        <v>45870</v>
      </c>
      <c r="AR142" s="157">
        <f t="shared" si="9"/>
        <v>0</v>
      </c>
    </row>
    <row r="143" spans="1:44">
      <c r="A143" s="160">
        <f t="shared" si="8"/>
        <v>45885</v>
      </c>
      <c r="B143" s="157">
        <f>YEAR(Table7[[#This Row],[Date]])+IF(MONTH(Table7[[#This Row],[Date]])&gt;=4,1,0)</f>
        <v>2026</v>
      </c>
      <c r="C143" s="157">
        <f>YEAR(Table7[[#This Row],[Date]])</f>
        <v>2025</v>
      </c>
      <c r="D143" s="159">
        <f t="shared" si="7"/>
        <v>45870</v>
      </c>
      <c r="AR143" s="157">
        <f t="shared" si="9"/>
        <v>0</v>
      </c>
    </row>
    <row r="144" spans="1:44">
      <c r="A144" s="160">
        <f t="shared" si="8"/>
        <v>45886</v>
      </c>
      <c r="B144" s="157">
        <f>YEAR(Table7[[#This Row],[Date]])+IF(MONTH(Table7[[#This Row],[Date]])&gt;=4,1,0)</f>
        <v>2026</v>
      </c>
      <c r="C144" s="157">
        <f>YEAR(Table7[[#This Row],[Date]])</f>
        <v>2025</v>
      </c>
      <c r="D144" s="159">
        <f t="shared" si="7"/>
        <v>45870</v>
      </c>
      <c r="AR144" s="157">
        <f t="shared" si="9"/>
        <v>0</v>
      </c>
    </row>
    <row r="145" spans="1:44">
      <c r="A145" s="160">
        <f t="shared" si="8"/>
        <v>45887</v>
      </c>
      <c r="B145" s="157">
        <f>YEAR(Table7[[#This Row],[Date]])+IF(MONTH(Table7[[#This Row],[Date]])&gt;=4,1,0)</f>
        <v>2026</v>
      </c>
      <c r="C145" s="157">
        <f>YEAR(Table7[[#This Row],[Date]])</f>
        <v>2025</v>
      </c>
      <c r="D145" s="159">
        <f t="shared" si="7"/>
        <v>45870</v>
      </c>
      <c r="AR145" s="157">
        <f t="shared" si="9"/>
        <v>0</v>
      </c>
    </row>
    <row r="146" spans="1:44">
      <c r="A146" s="160">
        <f t="shared" si="8"/>
        <v>45888</v>
      </c>
      <c r="B146" s="157">
        <f>YEAR(Table7[[#This Row],[Date]])+IF(MONTH(Table7[[#This Row],[Date]])&gt;=4,1,0)</f>
        <v>2026</v>
      </c>
      <c r="C146" s="157">
        <f>YEAR(Table7[[#This Row],[Date]])</f>
        <v>2025</v>
      </c>
      <c r="D146" s="159">
        <f t="shared" si="7"/>
        <v>45870</v>
      </c>
      <c r="AR146" s="157">
        <f t="shared" si="9"/>
        <v>0</v>
      </c>
    </row>
    <row r="147" spans="1:44">
      <c r="A147" s="160">
        <f t="shared" si="8"/>
        <v>45889</v>
      </c>
      <c r="B147" s="157">
        <f>YEAR(Table7[[#This Row],[Date]])+IF(MONTH(Table7[[#This Row],[Date]])&gt;=4,1,0)</f>
        <v>2026</v>
      </c>
      <c r="C147" s="157">
        <f>YEAR(Table7[[#This Row],[Date]])</f>
        <v>2025</v>
      </c>
      <c r="D147" s="159">
        <f t="shared" si="7"/>
        <v>45870</v>
      </c>
      <c r="AR147" s="157">
        <f t="shared" si="9"/>
        <v>0</v>
      </c>
    </row>
    <row r="148" spans="1:44">
      <c r="A148" s="160">
        <f t="shared" si="8"/>
        <v>45890</v>
      </c>
      <c r="B148" s="157">
        <f>YEAR(Table7[[#This Row],[Date]])+IF(MONTH(Table7[[#This Row],[Date]])&gt;=4,1,0)</f>
        <v>2026</v>
      </c>
      <c r="C148" s="157">
        <f>YEAR(Table7[[#This Row],[Date]])</f>
        <v>2025</v>
      </c>
      <c r="D148" s="159">
        <f t="shared" si="7"/>
        <v>45870</v>
      </c>
      <c r="AR148" s="157">
        <f t="shared" si="9"/>
        <v>0</v>
      </c>
    </row>
    <row r="149" spans="1:44">
      <c r="A149" s="160">
        <f t="shared" si="8"/>
        <v>45891</v>
      </c>
      <c r="B149" s="157">
        <f>YEAR(Table7[[#This Row],[Date]])+IF(MONTH(Table7[[#This Row],[Date]])&gt;=4,1,0)</f>
        <v>2026</v>
      </c>
      <c r="C149" s="157">
        <f>YEAR(Table7[[#This Row],[Date]])</f>
        <v>2025</v>
      </c>
      <c r="D149" s="159">
        <f t="shared" si="7"/>
        <v>45870</v>
      </c>
      <c r="AR149" s="157">
        <f t="shared" si="9"/>
        <v>0</v>
      </c>
    </row>
    <row r="150" spans="1:44">
      <c r="A150" s="160">
        <f t="shared" si="8"/>
        <v>45892</v>
      </c>
      <c r="B150" s="157">
        <f>YEAR(Table7[[#This Row],[Date]])+IF(MONTH(Table7[[#This Row],[Date]])&gt;=4,1,0)</f>
        <v>2026</v>
      </c>
      <c r="C150" s="157">
        <f>YEAR(Table7[[#This Row],[Date]])</f>
        <v>2025</v>
      </c>
      <c r="D150" s="159">
        <f t="shared" si="7"/>
        <v>45870</v>
      </c>
      <c r="AR150" s="157">
        <f t="shared" si="9"/>
        <v>0</v>
      </c>
    </row>
    <row r="151" spans="1:44">
      <c r="A151" s="160">
        <f t="shared" si="8"/>
        <v>45893</v>
      </c>
      <c r="B151" s="157">
        <f>YEAR(Table7[[#This Row],[Date]])+IF(MONTH(Table7[[#This Row],[Date]])&gt;=4,1,0)</f>
        <v>2026</v>
      </c>
      <c r="C151" s="157">
        <f>YEAR(Table7[[#This Row],[Date]])</f>
        <v>2025</v>
      </c>
      <c r="D151" s="159">
        <f t="shared" si="7"/>
        <v>45870</v>
      </c>
      <c r="AR151" s="157">
        <f t="shared" si="9"/>
        <v>0</v>
      </c>
    </row>
    <row r="152" spans="1:44">
      <c r="A152" s="160">
        <f t="shared" si="8"/>
        <v>45894</v>
      </c>
      <c r="B152" s="157">
        <f>YEAR(Table7[[#This Row],[Date]])+IF(MONTH(Table7[[#This Row],[Date]])&gt;=4,1,0)</f>
        <v>2026</v>
      </c>
      <c r="C152" s="157">
        <f>YEAR(Table7[[#This Row],[Date]])</f>
        <v>2025</v>
      </c>
      <c r="D152" s="159">
        <f t="shared" si="7"/>
        <v>45870</v>
      </c>
      <c r="AR152" s="157">
        <f t="shared" si="9"/>
        <v>0</v>
      </c>
    </row>
    <row r="153" spans="1:44">
      <c r="A153" s="160">
        <f t="shared" si="8"/>
        <v>45895</v>
      </c>
      <c r="B153" s="157">
        <f>YEAR(Table7[[#This Row],[Date]])+IF(MONTH(Table7[[#This Row],[Date]])&gt;=4,1,0)</f>
        <v>2026</v>
      </c>
      <c r="C153" s="157">
        <f>YEAR(Table7[[#This Row],[Date]])</f>
        <v>2025</v>
      </c>
      <c r="D153" s="159">
        <f t="shared" si="7"/>
        <v>45870</v>
      </c>
      <c r="AR153" s="157">
        <f t="shared" si="9"/>
        <v>0</v>
      </c>
    </row>
    <row r="154" spans="1:44">
      <c r="A154" s="160">
        <f t="shared" si="8"/>
        <v>45896</v>
      </c>
      <c r="B154" s="157">
        <f>YEAR(Table7[[#This Row],[Date]])+IF(MONTH(Table7[[#This Row],[Date]])&gt;=4,1,0)</f>
        <v>2026</v>
      </c>
      <c r="C154" s="157">
        <f>YEAR(Table7[[#This Row],[Date]])</f>
        <v>2025</v>
      </c>
      <c r="D154" s="159">
        <f t="shared" si="7"/>
        <v>45870</v>
      </c>
      <c r="AR154" s="157">
        <f t="shared" si="9"/>
        <v>0</v>
      </c>
    </row>
    <row r="155" spans="1:44">
      <c r="A155" s="160">
        <f t="shared" si="8"/>
        <v>45897</v>
      </c>
      <c r="B155" s="157">
        <f>YEAR(Table7[[#This Row],[Date]])+IF(MONTH(Table7[[#This Row],[Date]])&gt;=4,1,0)</f>
        <v>2026</v>
      </c>
      <c r="C155" s="157">
        <f>YEAR(Table7[[#This Row],[Date]])</f>
        <v>2025</v>
      </c>
      <c r="D155" s="159">
        <f t="shared" si="7"/>
        <v>45870</v>
      </c>
      <c r="AR155" s="157">
        <f t="shared" si="9"/>
        <v>0</v>
      </c>
    </row>
    <row r="156" spans="1:44">
      <c r="A156" s="160">
        <f t="shared" si="8"/>
        <v>45898</v>
      </c>
      <c r="B156" s="157">
        <f>YEAR(Table7[[#This Row],[Date]])+IF(MONTH(Table7[[#This Row],[Date]])&gt;=4,1,0)</f>
        <v>2026</v>
      </c>
      <c r="C156" s="157">
        <f>YEAR(Table7[[#This Row],[Date]])</f>
        <v>2025</v>
      </c>
      <c r="D156" s="159">
        <f t="shared" si="7"/>
        <v>45870</v>
      </c>
      <c r="AR156" s="157">
        <f t="shared" si="9"/>
        <v>0</v>
      </c>
    </row>
    <row r="157" spans="1:44">
      <c r="A157" s="160">
        <f t="shared" si="8"/>
        <v>45899</v>
      </c>
      <c r="B157" s="157">
        <f>YEAR(Table7[[#This Row],[Date]])+IF(MONTH(Table7[[#This Row],[Date]])&gt;=4,1,0)</f>
        <v>2026</v>
      </c>
      <c r="C157" s="157">
        <f>YEAR(Table7[[#This Row],[Date]])</f>
        <v>2025</v>
      </c>
      <c r="D157" s="159">
        <f t="shared" si="7"/>
        <v>45870</v>
      </c>
      <c r="AR157" s="157">
        <f t="shared" si="9"/>
        <v>0</v>
      </c>
    </row>
    <row r="158" spans="1:44">
      <c r="A158" s="160">
        <f t="shared" si="8"/>
        <v>45900</v>
      </c>
      <c r="B158" s="157">
        <f>YEAR(Table7[[#This Row],[Date]])+IF(MONTH(Table7[[#This Row],[Date]])&gt;=4,1,0)</f>
        <v>2026</v>
      </c>
      <c r="C158" s="157">
        <f>YEAR(Table7[[#This Row],[Date]])</f>
        <v>2025</v>
      </c>
      <c r="D158" s="159">
        <f t="shared" si="7"/>
        <v>45870</v>
      </c>
      <c r="AR158" s="157">
        <f t="shared" si="9"/>
        <v>0</v>
      </c>
    </row>
    <row r="159" spans="1:44">
      <c r="A159" s="160">
        <f t="shared" si="8"/>
        <v>45901</v>
      </c>
      <c r="B159" s="157">
        <f>YEAR(Table7[[#This Row],[Date]])+IF(MONTH(Table7[[#This Row],[Date]])&gt;=4,1,0)</f>
        <v>2026</v>
      </c>
      <c r="C159" s="157">
        <f>YEAR(Table7[[#This Row],[Date]])</f>
        <v>2025</v>
      </c>
      <c r="D159" s="159">
        <f t="shared" si="7"/>
        <v>45901</v>
      </c>
      <c r="AR159" s="157">
        <f t="shared" si="9"/>
        <v>0</v>
      </c>
    </row>
    <row r="160" spans="1:44">
      <c r="A160" s="160">
        <f t="shared" si="8"/>
        <v>45902</v>
      </c>
      <c r="B160" s="157">
        <f>YEAR(Table7[[#This Row],[Date]])+IF(MONTH(Table7[[#This Row],[Date]])&gt;=4,1,0)</f>
        <v>2026</v>
      </c>
      <c r="C160" s="157">
        <f>YEAR(Table7[[#This Row],[Date]])</f>
        <v>2025</v>
      </c>
      <c r="D160" s="159">
        <f t="shared" si="7"/>
        <v>45901</v>
      </c>
      <c r="AR160" s="157">
        <f t="shared" si="9"/>
        <v>0</v>
      </c>
    </row>
    <row r="161" spans="1:44">
      <c r="A161" s="160">
        <f t="shared" si="8"/>
        <v>45903</v>
      </c>
      <c r="B161" s="157">
        <f>YEAR(Table7[[#This Row],[Date]])+IF(MONTH(Table7[[#This Row],[Date]])&gt;=4,1,0)</f>
        <v>2026</v>
      </c>
      <c r="C161" s="157">
        <f>YEAR(Table7[[#This Row],[Date]])</f>
        <v>2025</v>
      </c>
      <c r="D161" s="159">
        <f t="shared" si="7"/>
        <v>45901</v>
      </c>
      <c r="AR161" s="157">
        <f t="shared" si="9"/>
        <v>0</v>
      </c>
    </row>
    <row r="162" spans="1:44">
      <c r="A162" s="160">
        <f t="shared" si="8"/>
        <v>45904</v>
      </c>
      <c r="B162" s="157">
        <f>YEAR(Table7[[#This Row],[Date]])+IF(MONTH(Table7[[#This Row],[Date]])&gt;=4,1,0)</f>
        <v>2026</v>
      </c>
      <c r="C162" s="157">
        <f>YEAR(Table7[[#This Row],[Date]])</f>
        <v>2025</v>
      </c>
      <c r="D162" s="159">
        <f t="shared" si="7"/>
        <v>45901</v>
      </c>
      <c r="AR162" s="157">
        <f t="shared" si="9"/>
        <v>0</v>
      </c>
    </row>
    <row r="163" spans="1:44">
      <c r="A163" s="160">
        <f t="shared" si="8"/>
        <v>45905</v>
      </c>
      <c r="B163" s="157">
        <f>YEAR(Table7[[#This Row],[Date]])+IF(MONTH(Table7[[#This Row],[Date]])&gt;=4,1,0)</f>
        <v>2026</v>
      </c>
      <c r="C163" s="157">
        <f>YEAR(Table7[[#This Row],[Date]])</f>
        <v>2025</v>
      </c>
      <c r="D163" s="159">
        <f t="shared" si="7"/>
        <v>45901</v>
      </c>
      <c r="AR163" s="157">
        <f t="shared" si="9"/>
        <v>0</v>
      </c>
    </row>
    <row r="164" spans="1:44">
      <c r="A164" s="160">
        <f t="shared" si="8"/>
        <v>45906</v>
      </c>
      <c r="B164" s="157">
        <f>YEAR(Table7[[#This Row],[Date]])+IF(MONTH(Table7[[#This Row],[Date]])&gt;=4,1,0)</f>
        <v>2026</v>
      </c>
      <c r="C164" s="157">
        <f>YEAR(Table7[[#This Row],[Date]])</f>
        <v>2025</v>
      </c>
      <c r="D164" s="159">
        <f t="shared" ref="D164:D227" si="10">A164-DAY(A164)+1</f>
        <v>45901</v>
      </c>
      <c r="AR164" s="157">
        <f t="shared" si="9"/>
        <v>0</v>
      </c>
    </row>
    <row r="165" spans="1:44">
      <c r="A165" s="160">
        <f t="shared" si="8"/>
        <v>45907</v>
      </c>
      <c r="B165" s="157">
        <f>YEAR(Table7[[#This Row],[Date]])+IF(MONTH(Table7[[#This Row],[Date]])&gt;=4,1,0)</f>
        <v>2026</v>
      </c>
      <c r="C165" s="157">
        <f>YEAR(Table7[[#This Row],[Date]])</f>
        <v>2025</v>
      </c>
      <c r="D165" s="159">
        <f t="shared" si="10"/>
        <v>45901</v>
      </c>
      <c r="AR165" s="157">
        <f t="shared" si="9"/>
        <v>0</v>
      </c>
    </row>
    <row r="166" spans="1:44">
      <c r="A166" s="160">
        <f t="shared" ref="A166:A229" si="11">A165+1</f>
        <v>45908</v>
      </c>
      <c r="B166" s="157">
        <f>YEAR(Table7[[#This Row],[Date]])+IF(MONTH(Table7[[#This Row],[Date]])&gt;=4,1,0)</f>
        <v>2026</v>
      </c>
      <c r="C166" s="157">
        <f>YEAR(Table7[[#This Row],[Date]])</f>
        <v>2025</v>
      </c>
      <c r="D166" s="159">
        <f t="shared" si="10"/>
        <v>45901</v>
      </c>
      <c r="AR166" s="157">
        <f t="shared" si="9"/>
        <v>0</v>
      </c>
    </row>
    <row r="167" spans="1:44">
      <c r="A167" s="160">
        <f t="shared" si="11"/>
        <v>45909</v>
      </c>
      <c r="B167" s="157">
        <f>YEAR(Table7[[#This Row],[Date]])+IF(MONTH(Table7[[#This Row],[Date]])&gt;=4,1,0)</f>
        <v>2026</v>
      </c>
      <c r="C167" s="157">
        <f>YEAR(Table7[[#This Row],[Date]])</f>
        <v>2025</v>
      </c>
      <c r="D167" s="159">
        <f t="shared" si="10"/>
        <v>45901</v>
      </c>
      <c r="AR167" s="157">
        <f t="shared" si="9"/>
        <v>0</v>
      </c>
    </row>
    <row r="168" spans="1:44">
      <c r="A168" s="160">
        <f t="shared" si="11"/>
        <v>45910</v>
      </c>
      <c r="B168" s="157">
        <f>YEAR(Table7[[#This Row],[Date]])+IF(MONTH(Table7[[#This Row],[Date]])&gt;=4,1,0)</f>
        <v>2026</v>
      </c>
      <c r="C168" s="157">
        <f>YEAR(Table7[[#This Row],[Date]])</f>
        <v>2025</v>
      </c>
      <c r="D168" s="159">
        <f t="shared" si="10"/>
        <v>45901</v>
      </c>
      <c r="AR168" s="157">
        <f t="shared" si="9"/>
        <v>0</v>
      </c>
    </row>
    <row r="169" spans="1:44">
      <c r="A169" s="160">
        <f t="shared" si="11"/>
        <v>45911</v>
      </c>
      <c r="B169" s="157">
        <f>YEAR(Table7[[#This Row],[Date]])+IF(MONTH(Table7[[#This Row],[Date]])&gt;=4,1,0)</f>
        <v>2026</v>
      </c>
      <c r="C169" s="157">
        <f>YEAR(Table7[[#This Row],[Date]])</f>
        <v>2025</v>
      </c>
      <c r="D169" s="159">
        <f t="shared" si="10"/>
        <v>45901</v>
      </c>
      <c r="AR169" s="157">
        <f t="shared" si="9"/>
        <v>0</v>
      </c>
    </row>
    <row r="170" spans="1:44">
      <c r="A170" s="160">
        <f t="shared" si="11"/>
        <v>45912</v>
      </c>
      <c r="B170" s="157">
        <f>YEAR(Table7[[#This Row],[Date]])+IF(MONTH(Table7[[#This Row],[Date]])&gt;=4,1,0)</f>
        <v>2026</v>
      </c>
      <c r="C170" s="157">
        <f>YEAR(Table7[[#This Row],[Date]])</f>
        <v>2025</v>
      </c>
      <c r="D170" s="159">
        <f t="shared" si="10"/>
        <v>45901</v>
      </c>
      <c r="AR170" s="157">
        <f t="shared" si="9"/>
        <v>0</v>
      </c>
    </row>
    <row r="171" spans="1:44">
      <c r="A171" s="160">
        <f t="shared" si="11"/>
        <v>45913</v>
      </c>
      <c r="B171" s="157">
        <f>YEAR(Table7[[#This Row],[Date]])+IF(MONTH(Table7[[#This Row],[Date]])&gt;=4,1,0)</f>
        <v>2026</v>
      </c>
      <c r="C171" s="157">
        <f>YEAR(Table7[[#This Row],[Date]])</f>
        <v>2025</v>
      </c>
      <c r="D171" s="159">
        <f t="shared" si="10"/>
        <v>45901</v>
      </c>
      <c r="AR171" s="157">
        <f t="shared" si="9"/>
        <v>0</v>
      </c>
    </row>
    <row r="172" spans="1:44">
      <c r="A172" s="160">
        <f t="shared" si="11"/>
        <v>45914</v>
      </c>
      <c r="B172" s="157">
        <f>YEAR(Table7[[#This Row],[Date]])+IF(MONTH(Table7[[#This Row],[Date]])&gt;=4,1,0)</f>
        <v>2026</v>
      </c>
      <c r="C172" s="157">
        <f>YEAR(Table7[[#This Row],[Date]])</f>
        <v>2025</v>
      </c>
      <c r="D172" s="159">
        <f t="shared" si="10"/>
        <v>45901</v>
      </c>
      <c r="AR172" s="157">
        <f t="shared" si="9"/>
        <v>0</v>
      </c>
    </row>
    <row r="173" spans="1:44">
      <c r="A173" s="160">
        <f t="shared" si="11"/>
        <v>45915</v>
      </c>
      <c r="B173" s="157">
        <f>YEAR(Table7[[#This Row],[Date]])+IF(MONTH(Table7[[#This Row],[Date]])&gt;=4,1,0)</f>
        <v>2026</v>
      </c>
      <c r="C173" s="157">
        <f>YEAR(Table7[[#This Row],[Date]])</f>
        <v>2025</v>
      </c>
      <c r="D173" s="159">
        <f t="shared" si="10"/>
        <v>45901</v>
      </c>
      <c r="AR173" s="157">
        <f t="shared" si="9"/>
        <v>0</v>
      </c>
    </row>
    <row r="174" spans="1:44">
      <c r="A174" s="160">
        <f t="shared" si="11"/>
        <v>45916</v>
      </c>
      <c r="B174" s="157">
        <f>YEAR(Table7[[#This Row],[Date]])+IF(MONTH(Table7[[#This Row],[Date]])&gt;=4,1,0)</f>
        <v>2026</v>
      </c>
      <c r="C174" s="157">
        <f>YEAR(Table7[[#This Row],[Date]])</f>
        <v>2025</v>
      </c>
      <c r="D174" s="159">
        <f t="shared" si="10"/>
        <v>45901</v>
      </c>
      <c r="AR174" s="157">
        <f t="shared" si="9"/>
        <v>0</v>
      </c>
    </row>
    <row r="175" spans="1:44">
      <c r="A175" s="160">
        <f t="shared" si="11"/>
        <v>45917</v>
      </c>
      <c r="B175" s="157">
        <f>YEAR(Table7[[#This Row],[Date]])+IF(MONTH(Table7[[#This Row],[Date]])&gt;=4,1,0)</f>
        <v>2026</v>
      </c>
      <c r="C175" s="157">
        <f>YEAR(Table7[[#This Row],[Date]])</f>
        <v>2025</v>
      </c>
      <c r="D175" s="159">
        <f t="shared" si="10"/>
        <v>45901</v>
      </c>
      <c r="AR175" s="157">
        <f t="shared" si="9"/>
        <v>0</v>
      </c>
    </row>
    <row r="176" spans="1:44">
      <c r="A176" s="160">
        <f t="shared" si="11"/>
        <v>45918</v>
      </c>
      <c r="B176" s="157">
        <f>YEAR(Table7[[#This Row],[Date]])+IF(MONTH(Table7[[#This Row],[Date]])&gt;=4,1,0)</f>
        <v>2026</v>
      </c>
      <c r="C176" s="157">
        <f>YEAR(Table7[[#This Row],[Date]])</f>
        <v>2025</v>
      </c>
      <c r="D176" s="159">
        <f t="shared" si="10"/>
        <v>45901</v>
      </c>
      <c r="AR176" s="157">
        <f t="shared" si="9"/>
        <v>0</v>
      </c>
    </row>
    <row r="177" spans="1:44">
      <c r="A177" s="160">
        <f t="shared" si="11"/>
        <v>45919</v>
      </c>
      <c r="B177" s="157">
        <f>YEAR(Table7[[#This Row],[Date]])+IF(MONTH(Table7[[#This Row],[Date]])&gt;=4,1,0)</f>
        <v>2026</v>
      </c>
      <c r="C177" s="157">
        <f>YEAR(Table7[[#This Row],[Date]])</f>
        <v>2025</v>
      </c>
      <c r="D177" s="159">
        <f t="shared" si="10"/>
        <v>45901</v>
      </c>
      <c r="AR177" s="157">
        <f t="shared" si="9"/>
        <v>0</v>
      </c>
    </row>
    <row r="178" spans="1:44">
      <c r="A178" s="160">
        <f t="shared" si="11"/>
        <v>45920</v>
      </c>
      <c r="B178" s="157">
        <f>YEAR(Table7[[#This Row],[Date]])+IF(MONTH(Table7[[#This Row],[Date]])&gt;=4,1,0)</f>
        <v>2026</v>
      </c>
      <c r="C178" s="157">
        <f>YEAR(Table7[[#This Row],[Date]])</f>
        <v>2025</v>
      </c>
      <c r="D178" s="159">
        <f t="shared" si="10"/>
        <v>45901</v>
      </c>
      <c r="AR178" s="157">
        <f t="shared" si="9"/>
        <v>0</v>
      </c>
    </row>
    <row r="179" spans="1:44">
      <c r="A179" s="160">
        <f t="shared" si="11"/>
        <v>45921</v>
      </c>
      <c r="B179" s="157">
        <f>YEAR(Table7[[#This Row],[Date]])+IF(MONTH(Table7[[#This Row],[Date]])&gt;=4,1,0)</f>
        <v>2026</v>
      </c>
      <c r="C179" s="157">
        <f>YEAR(Table7[[#This Row],[Date]])</f>
        <v>2025</v>
      </c>
      <c r="D179" s="159">
        <f t="shared" si="10"/>
        <v>45901</v>
      </c>
      <c r="AR179" s="157">
        <f t="shared" si="9"/>
        <v>0</v>
      </c>
    </row>
    <row r="180" spans="1:44">
      <c r="A180" s="160">
        <f t="shared" si="11"/>
        <v>45922</v>
      </c>
      <c r="B180" s="157">
        <f>YEAR(Table7[[#This Row],[Date]])+IF(MONTH(Table7[[#This Row],[Date]])&gt;=4,1,0)</f>
        <v>2026</v>
      </c>
      <c r="C180" s="157">
        <f>YEAR(Table7[[#This Row],[Date]])</f>
        <v>2025</v>
      </c>
      <c r="D180" s="159">
        <f t="shared" si="10"/>
        <v>45901</v>
      </c>
      <c r="AR180" s="157">
        <f t="shared" si="9"/>
        <v>0</v>
      </c>
    </row>
    <row r="181" spans="1:44">
      <c r="A181" s="160">
        <f t="shared" si="11"/>
        <v>45923</v>
      </c>
      <c r="B181" s="157">
        <f>YEAR(Table7[[#This Row],[Date]])+IF(MONTH(Table7[[#This Row],[Date]])&gt;=4,1,0)</f>
        <v>2026</v>
      </c>
      <c r="C181" s="157">
        <f>YEAR(Table7[[#This Row],[Date]])</f>
        <v>2025</v>
      </c>
      <c r="D181" s="159">
        <f t="shared" si="10"/>
        <v>45901</v>
      </c>
      <c r="AR181" s="157">
        <f t="shared" si="9"/>
        <v>0</v>
      </c>
    </row>
    <row r="182" spans="1:44">
      <c r="A182" s="160">
        <f t="shared" si="11"/>
        <v>45924</v>
      </c>
      <c r="B182" s="157">
        <f>YEAR(Table7[[#This Row],[Date]])+IF(MONTH(Table7[[#This Row],[Date]])&gt;=4,1,0)</f>
        <v>2026</v>
      </c>
      <c r="C182" s="157">
        <f>YEAR(Table7[[#This Row],[Date]])</f>
        <v>2025</v>
      </c>
      <c r="D182" s="159">
        <f t="shared" si="10"/>
        <v>45901</v>
      </c>
      <c r="AR182" s="157">
        <f t="shared" si="9"/>
        <v>0</v>
      </c>
    </row>
    <row r="183" spans="1:44">
      <c r="A183" s="160">
        <f t="shared" si="11"/>
        <v>45925</v>
      </c>
      <c r="B183" s="157">
        <f>YEAR(Table7[[#This Row],[Date]])+IF(MONTH(Table7[[#This Row],[Date]])&gt;=4,1,0)</f>
        <v>2026</v>
      </c>
      <c r="C183" s="157">
        <f>YEAR(Table7[[#This Row],[Date]])</f>
        <v>2025</v>
      </c>
      <c r="D183" s="159">
        <f t="shared" si="10"/>
        <v>45901</v>
      </c>
      <c r="AR183" s="157">
        <f t="shared" si="9"/>
        <v>0</v>
      </c>
    </row>
    <row r="184" spans="1:44">
      <c r="A184" s="160">
        <f t="shared" si="11"/>
        <v>45926</v>
      </c>
      <c r="B184" s="157">
        <f>YEAR(Table7[[#This Row],[Date]])+IF(MONTH(Table7[[#This Row],[Date]])&gt;=4,1,0)</f>
        <v>2026</v>
      </c>
      <c r="C184" s="157">
        <f>YEAR(Table7[[#This Row],[Date]])</f>
        <v>2025</v>
      </c>
      <c r="D184" s="159">
        <f t="shared" si="10"/>
        <v>45901</v>
      </c>
      <c r="AR184" s="157">
        <f t="shared" si="9"/>
        <v>0</v>
      </c>
    </row>
    <row r="185" spans="1:44">
      <c r="A185" s="160">
        <f t="shared" si="11"/>
        <v>45927</v>
      </c>
      <c r="B185" s="157">
        <f>YEAR(Table7[[#This Row],[Date]])+IF(MONTH(Table7[[#This Row],[Date]])&gt;=4,1,0)</f>
        <v>2026</v>
      </c>
      <c r="C185" s="157">
        <f>YEAR(Table7[[#This Row],[Date]])</f>
        <v>2025</v>
      </c>
      <c r="D185" s="159">
        <f t="shared" si="10"/>
        <v>45901</v>
      </c>
      <c r="AR185" s="157">
        <f t="shared" si="9"/>
        <v>0</v>
      </c>
    </row>
    <row r="186" spans="1:44">
      <c r="A186" s="160">
        <f t="shared" si="11"/>
        <v>45928</v>
      </c>
      <c r="B186" s="157">
        <f>YEAR(Table7[[#This Row],[Date]])+IF(MONTH(Table7[[#This Row],[Date]])&gt;=4,1,0)</f>
        <v>2026</v>
      </c>
      <c r="C186" s="157">
        <f>YEAR(Table7[[#This Row],[Date]])</f>
        <v>2025</v>
      </c>
      <c r="D186" s="159">
        <f t="shared" si="10"/>
        <v>45901</v>
      </c>
      <c r="AR186" s="157">
        <f t="shared" si="9"/>
        <v>0</v>
      </c>
    </row>
    <row r="187" spans="1:44">
      <c r="A187" s="160">
        <f t="shared" si="11"/>
        <v>45929</v>
      </c>
      <c r="B187" s="157">
        <f>YEAR(Table7[[#This Row],[Date]])+IF(MONTH(Table7[[#This Row],[Date]])&gt;=4,1,0)</f>
        <v>2026</v>
      </c>
      <c r="C187" s="157">
        <f>YEAR(Table7[[#This Row],[Date]])</f>
        <v>2025</v>
      </c>
      <c r="D187" s="159">
        <f t="shared" si="10"/>
        <v>45901</v>
      </c>
      <c r="AR187" s="157">
        <f t="shared" si="9"/>
        <v>0</v>
      </c>
    </row>
    <row r="188" spans="1:44">
      <c r="A188" s="160">
        <f t="shared" si="11"/>
        <v>45930</v>
      </c>
      <c r="B188" s="157">
        <f>YEAR(Table7[[#This Row],[Date]])+IF(MONTH(Table7[[#This Row],[Date]])&gt;=4,1,0)</f>
        <v>2026</v>
      </c>
      <c r="C188" s="157">
        <f>YEAR(Table7[[#This Row],[Date]])</f>
        <v>2025</v>
      </c>
      <c r="D188" s="159">
        <f t="shared" si="10"/>
        <v>45901</v>
      </c>
      <c r="AR188" s="157">
        <f t="shared" si="9"/>
        <v>0</v>
      </c>
    </row>
    <row r="189" spans="1:44">
      <c r="A189" s="160">
        <f t="shared" si="11"/>
        <v>45931</v>
      </c>
      <c r="B189" s="157">
        <f>YEAR(Table7[[#This Row],[Date]])+IF(MONTH(Table7[[#This Row],[Date]])&gt;=4,1,0)</f>
        <v>2026</v>
      </c>
      <c r="C189" s="157">
        <f>YEAR(Table7[[#This Row],[Date]])</f>
        <v>2025</v>
      </c>
      <c r="D189" s="159">
        <f t="shared" si="10"/>
        <v>45931</v>
      </c>
      <c r="AR189" s="157">
        <f t="shared" si="9"/>
        <v>0</v>
      </c>
    </row>
    <row r="190" spans="1:44">
      <c r="A190" s="160">
        <f t="shared" si="11"/>
        <v>45932</v>
      </c>
      <c r="B190" s="157">
        <f>YEAR(Table7[[#This Row],[Date]])+IF(MONTH(Table7[[#This Row],[Date]])&gt;=4,1,0)</f>
        <v>2026</v>
      </c>
      <c r="C190" s="157">
        <f>YEAR(Table7[[#This Row],[Date]])</f>
        <v>2025</v>
      </c>
      <c r="D190" s="159">
        <f t="shared" si="10"/>
        <v>45931</v>
      </c>
      <c r="AR190" s="157">
        <f t="shared" si="9"/>
        <v>0</v>
      </c>
    </row>
    <row r="191" spans="1:44">
      <c r="A191" s="160">
        <f t="shared" si="11"/>
        <v>45933</v>
      </c>
      <c r="B191" s="157">
        <f>YEAR(Table7[[#This Row],[Date]])+IF(MONTH(Table7[[#This Row],[Date]])&gt;=4,1,0)</f>
        <v>2026</v>
      </c>
      <c r="C191" s="157">
        <f>YEAR(Table7[[#This Row],[Date]])</f>
        <v>2025</v>
      </c>
      <c r="D191" s="159">
        <f t="shared" si="10"/>
        <v>45931</v>
      </c>
      <c r="AR191" s="157">
        <f t="shared" si="9"/>
        <v>0</v>
      </c>
    </row>
    <row r="192" spans="1:44">
      <c r="A192" s="160">
        <f t="shared" si="11"/>
        <v>45934</v>
      </c>
      <c r="B192" s="157">
        <f>YEAR(Table7[[#This Row],[Date]])+IF(MONTH(Table7[[#This Row],[Date]])&gt;=4,1,0)</f>
        <v>2026</v>
      </c>
      <c r="C192" s="157">
        <f>YEAR(Table7[[#This Row],[Date]])</f>
        <v>2025</v>
      </c>
      <c r="D192" s="159">
        <f t="shared" si="10"/>
        <v>45931</v>
      </c>
      <c r="AR192" s="157">
        <f t="shared" si="9"/>
        <v>0</v>
      </c>
    </row>
    <row r="193" spans="1:44">
      <c r="A193" s="160">
        <f t="shared" si="11"/>
        <v>45935</v>
      </c>
      <c r="B193" s="157">
        <f>YEAR(Table7[[#This Row],[Date]])+IF(MONTH(Table7[[#This Row],[Date]])&gt;=4,1,0)</f>
        <v>2026</v>
      </c>
      <c r="C193" s="157">
        <f>YEAR(Table7[[#This Row],[Date]])</f>
        <v>2025</v>
      </c>
      <c r="D193" s="159">
        <f t="shared" si="10"/>
        <v>45931</v>
      </c>
      <c r="AR193" s="157">
        <f t="shared" si="9"/>
        <v>0</v>
      </c>
    </row>
    <row r="194" spans="1:44">
      <c r="A194" s="160">
        <f t="shared" si="11"/>
        <v>45936</v>
      </c>
      <c r="B194" s="157">
        <f>YEAR(Table7[[#This Row],[Date]])+IF(MONTH(Table7[[#This Row],[Date]])&gt;=4,1,0)</f>
        <v>2026</v>
      </c>
      <c r="C194" s="157">
        <f>YEAR(Table7[[#This Row],[Date]])</f>
        <v>2025</v>
      </c>
      <c r="D194" s="159">
        <f t="shared" si="10"/>
        <v>45931</v>
      </c>
      <c r="AR194" s="157">
        <f t="shared" si="9"/>
        <v>0</v>
      </c>
    </row>
    <row r="195" spans="1:44">
      <c r="A195" s="160">
        <f t="shared" si="11"/>
        <v>45937</v>
      </c>
      <c r="B195" s="157">
        <f>YEAR(Table7[[#This Row],[Date]])+IF(MONTH(Table7[[#This Row],[Date]])&gt;=4,1,0)</f>
        <v>2026</v>
      </c>
      <c r="C195" s="157">
        <f>YEAR(Table7[[#This Row],[Date]])</f>
        <v>2025</v>
      </c>
      <c r="D195" s="159">
        <f t="shared" si="10"/>
        <v>45931</v>
      </c>
      <c r="AR195" s="157">
        <f t="shared" ref="AR195:AR258" si="12">SUM(E195:AQ195)</f>
        <v>0</v>
      </c>
    </row>
    <row r="196" spans="1:44">
      <c r="A196" s="160">
        <f t="shared" si="11"/>
        <v>45938</v>
      </c>
      <c r="B196" s="157">
        <f>YEAR(Table7[[#This Row],[Date]])+IF(MONTH(Table7[[#This Row],[Date]])&gt;=4,1,0)</f>
        <v>2026</v>
      </c>
      <c r="C196" s="157">
        <f>YEAR(Table7[[#This Row],[Date]])</f>
        <v>2025</v>
      </c>
      <c r="D196" s="159">
        <f t="shared" si="10"/>
        <v>45931</v>
      </c>
      <c r="AR196" s="157">
        <f t="shared" si="12"/>
        <v>0</v>
      </c>
    </row>
    <row r="197" spans="1:44">
      <c r="A197" s="160">
        <f t="shared" si="11"/>
        <v>45939</v>
      </c>
      <c r="B197" s="157">
        <f>YEAR(Table7[[#This Row],[Date]])+IF(MONTH(Table7[[#This Row],[Date]])&gt;=4,1,0)</f>
        <v>2026</v>
      </c>
      <c r="C197" s="157">
        <f>YEAR(Table7[[#This Row],[Date]])</f>
        <v>2025</v>
      </c>
      <c r="D197" s="159">
        <f t="shared" si="10"/>
        <v>45931</v>
      </c>
      <c r="AR197" s="157">
        <f t="shared" si="12"/>
        <v>0</v>
      </c>
    </row>
    <row r="198" spans="1:44">
      <c r="A198" s="160">
        <f t="shared" si="11"/>
        <v>45940</v>
      </c>
      <c r="B198" s="157">
        <f>YEAR(Table7[[#This Row],[Date]])+IF(MONTH(Table7[[#This Row],[Date]])&gt;=4,1,0)</f>
        <v>2026</v>
      </c>
      <c r="C198" s="157">
        <f>YEAR(Table7[[#This Row],[Date]])</f>
        <v>2025</v>
      </c>
      <c r="D198" s="159">
        <f t="shared" si="10"/>
        <v>45931</v>
      </c>
      <c r="AR198" s="157">
        <f t="shared" si="12"/>
        <v>0</v>
      </c>
    </row>
    <row r="199" spans="1:44">
      <c r="A199" s="160">
        <f t="shared" si="11"/>
        <v>45941</v>
      </c>
      <c r="B199" s="157">
        <f>YEAR(Table7[[#This Row],[Date]])+IF(MONTH(Table7[[#This Row],[Date]])&gt;=4,1,0)</f>
        <v>2026</v>
      </c>
      <c r="C199" s="157">
        <f>YEAR(Table7[[#This Row],[Date]])</f>
        <v>2025</v>
      </c>
      <c r="D199" s="159">
        <f t="shared" si="10"/>
        <v>45931</v>
      </c>
      <c r="AR199" s="157">
        <f t="shared" si="12"/>
        <v>0</v>
      </c>
    </row>
    <row r="200" spans="1:44">
      <c r="A200" s="160">
        <f t="shared" si="11"/>
        <v>45942</v>
      </c>
      <c r="B200" s="157">
        <f>YEAR(Table7[[#This Row],[Date]])+IF(MONTH(Table7[[#This Row],[Date]])&gt;=4,1,0)</f>
        <v>2026</v>
      </c>
      <c r="C200" s="157">
        <f>YEAR(Table7[[#This Row],[Date]])</f>
        <v>2025</v>
      </c>
      <c r="D200" s="159">
        <f t="shared" si="10"/>
        <v>45931</v>
      </c>
      <c r="AR200" s="157">
        <f t="shared" si="12"/>
        <v>0</v>
      </c>
    </row>
    <row r="201" spans="1:44">
      <c r="A201" s="160">
        <f t="shared" si="11"/>
        <v>45943</v>
      </c>
      <c r="B201" s="157">
        <f>YEAR(Table7[[#This Row],[Date]])+IF(MONTH(Table7[[#This Row],[Date]])&gt;=4,1,0)</f>
        <v>2026</v>
      </c>
      <c r="C201" s="157">
        <f>YEAR(Table7[[#This Row],[Date]])</f>
        <v>2025</v>
      </c>
      <c r="D201" s="159">
        <f t="shared" si="10"/>
        <v>45931</v>
      </c>
      <c r="AR201" s="157">
        <f t="shared" si="12"/>
        <v>0</v>
      </c>
    </row>
    <row r="202" spans="1:44">
      <c r="A202" s="160">
        <f t="shared" si="11"/>
        <v>45944</v>
      </c>
      <c r="B202" s="157">
        <f>YEAR(Table7[[#This Row],[Date]])+IF(MONTH(Table7[[#This Row],[Date]])&gt;=4,1,0)</f>
        <v>2026</v>
      </c>
      <c r="C202" s="157">
        <f>YEAR(Table7[[#This Row],[Date]])</f>
        <v>2025</v>
      </c>
      <c r="D202" s="159">
        <f t="shared" si="10"/>
        <v>45931</v>
      </c>
      <c r="AR202" s="157">
        <f t="shared" si="12"/>
        <v>0</v>
      </c>
    </row>
    <row r="203" spans="1:44">
      <c r="A203" s="160">
        <f t="shared" si="11"/>
        <v>45945</v>
      </c>
      <c r="B203" s="157">
        <f>YEAR(Table7[[#This Row],[Date]])+IF(MONTH(Table7[[#This Row],[Date]])&gt;=4,1,0)</f>
        <v>2026</v>
      </c>
      <c r="C203" s="157">
        <f>YEAR(Table7[[#This Row],[Date]])</f>
        <v>2025</v>
      </c>
      <c r="D203" s="159">
        <f t="shared" si="10"/>
        <v>45931</v>
      </c>
      <c r="AR203" s="157">
        <f t="shared" si="12"/>
        <v>0</v>
      </c>
    </row>
    <row r="204" spans="1:44">
      <c r="A204" s="160">
        <f t="shared" si="11"/>
        <v>45946</v>
      </c>
      <c r="B204" s="157">
        <f>YEAR(Table7[[#This Row],[Date]])+IF(MONTH(Table7[[#This Row],[Date]])&gt;=4,1,0)</f>
        <v>2026</v>
      </c>
      <c r="C204" s="157">
        <f>YEAR(Table7[[#This Row],[Date]])</f>
        <v>2025</v>
      </c>
      <c r="D204" s="159">
        <f t="shared" si="10"/>
        <v>45931</v>
      </c>
      <c r="AR204" s="157">
        <f t="shared" si="12"/>
        <v>0</v>
      </c>
    </row>
    <row r="205" spans="1:44">
      <c r="A205" s="160">
        <f t="shared" si="11"/>
        <v>45947</v>
      </c>
      <c r="B205" s="157">
        <f>YEAR(Table7[[#This Row],[Date]])+IF(MONTH(Table7[[#This Row],[Date]])&gt;=4,1,0)</f>
        <v>2026</v>
      </c>
      <c r="C205" s="157">
        <f>YEAR(Table7[[#This Row],[Date]])</f>
        <v>2025</v>
      </c>
      <c r="D205" s="159">
        <f t="shared" si="10"/>
        <v>45931</v>
      </c>
      <c r="AR205" s="157">
        <f t="shared" si="12"/>
        <v>0</v>
      </c>
    </row>
    <row r="206" spans="1:44">
      <c r="A206" s="160">
        <f t="shared" si="11"/>
        <v>45948</v>
      </c>
      <c r="B206" s="157">
        <f>YEAR(Table7[[#This Row],[Date]])+IF(MONTH(Table7[[#This Row],[Date]])&gt;=4,1,0)</f>
        <v>2026</v>
      </c>
      <c r="C206" s="157">
        <f>YEAR(Table7[[#This Row],[Date]])</f>
        <v>2025</v>
      </c>
      <c r="D206" s="159">
        <f t="shared" si="10"/>
        <v>45931</v>
      </c>
      <c r="AR206" s="157">
        <f t="shared" si="12"/>
        <v>0</v>
      </c>
    </row>
    <row r="207" spans="1:44">
      <c r="A207" s="160">
        <f t="shared" si="11"/>
        <v>45949</v>
      </c>
      <c r="B207" s="157">
        <f>YEAR(Table7[[#This Row],[Date]])+IF(MONTH(Table7[[#This Row],[Date]])&gt;=4,1,0)</f>
        <v>2026</v>
      </c>
      <c r="C207" s="157">
        <f>YEAR(Table7[[#This Row],[Date]])</f>
        <v>2025</v>
      </c>
      <c r="D207" s="159">
        <f t="shared" si="10"/>
        <v>45931</v>
      </c>
      <c r="AR207" s="157">
        <f t="shared" si="12"/>
        <v>0</v>
      </c>
    </row>
    <row r="208" spans="1:44">
      <c r="A208" s="160">
        <f t="shared" si="11"/>
        <v>45950</v>
      </c>
      <c r="B208" s="157">
        <f>YEAR(Table7[[#This Row],[Date]])+IF(MONTH(Table7[[#This Row],[Date]])&gt;=4,1,0)</f>
        <v>2026</v>
      </c>
      <c r="C208" s="157">
        <f>YEAR(Table7[[#This Row],[Date]])</f>
        <v>2025</v>
      </c>
      <c r="D208" s="159">
        <f t="shared" si="10"/>
        <v>45931</v>
      </c>
      <c r="AR208" s="157">
        <f t="shared" si="12"/>
        <v>0</v>
      </c>
    </row>
    <row r="209" spans="1:44">
      <c r="A209" s="160">
        <f t="shared" si="11"/>
        <v>45951</v>
      </c>
      <c r="B209" s="157">
        <f>YEAR(Table7[[#This Row],[Date]])+IF(MONTH(Table7[[#This Row],[Date]])&gt;=4,1,0)</f>
        <v>2026</v>
      </c>
      <c r="C209" s="157">
        <f>YEAR(Table7[[#This Row],[Date]])</f>
        <v>2025</v>
      </c>
      <c r="D209" s="159">
        <f t="shared" si="10"/>
        <v>45931</v>
      </c>
      <c r="AR209" s="157">
        <f t="shared" si="12"/>
        <v>0</v>
      </c>
    </row>
    <row r="210" spans="1:44">
      <c r="A210" s="160">
        <f t="shared" si="11"/>
        <v>45952</v>
      </c>
      <c r="B210" s="157">
        <f>YEAR(Table7[[#This Row],[Date]])+IF(MONTH(Table7[[#This Row],[Date]])&gt;=4,1,0)</f>
        <v>2026</v>
      </c>
      <c r="C210" s="157">
        <f>YEAR(Table7[[#This Row],[Date]])</f>
        <v>2025</v>
      </c>
      <c r="D210" s="159">
        <f t="shared" si="10"/>
        <v>45931</v>
      </c>
      <c r="AR210" s="157">
        <f t="shared" si="12"/>
        <v>0</v>
      </c>
    </row>
    <row r="211" spans="1:44">
      <c r="A211" s="160">
        <f t="shared" si="11"/>
        <v>45953</v>
      </c>
      <c r="B211" s="157">
        <f>YEAR(Table7[[#This Row],[Date]])+IF(MONTH(Table7[[#This Row],[Date]])&gt;=4,1,0)</f>
        <v>2026</v>
      </c>
      <c r="C211" s="157">
        <f>YEAR(Table7[[#This Row],[Date]])</f>
        <v>2025</v>
      </c>
      <c r="D211" s="159">
        <f t="shared" si="10"/>
        <v>45931</v>
      </c>
      <c r="AR211" s="157">
        <f t="shared" si="12"/>
        <v>0</v>
      </c>
    </row>
    <row r="212" spans="1:44">
      <c r="A212" s="160">
        <f t="shared" si="11"/>
        <v>45954</v>
      </c>
      <c r="B212" s="157">
        <f>YEAR(Table7[[#This Row],[Date]])+IF(MONTH(Table7[[#This Row],[Date]])&gt;=4,1,0)</f>
        <v>2026</v>
      </c>
      <c r="C212" s="157">
        <f>YEAR(Table7[[#This Row],[Date]])</f>
        <v>2025</v>
      </c>
      <c r="D212" s="159">
        <f t="shared" si="10"/>
        <v>45931</v>
      </c>
      <c r="AR212" s="157">
        <f t="shared" si="12"/>
        <v>0</v>
      </c>
    </row>
    <row r="213" spans="1:44">
      <c r="A213" s="160">
        <f t="shared" si="11"/>
        <v>45955</v>
      </c>
      <c r="B213" s="157">
        <f>YEAR(Table7[[#This Row],[Date]])+IF(MONTH(Table7[[#This Row],[Date]])&gt;=4,1,0)</f>
        <v>2026</v>
      </c>
      <c r="C213" s="157">
        <f>YEAR(Table7[[#This Row],[Date]])</f>
        <v>2025</v>
      </c>
      <c r="D213" s="159">
        <f t="shared" si="10"/>
        <v>45931</v>
      </c>
      <c r="AR213" s="157">
        <f t="shared" si="12"/>
        <v>0</v>
      </c>
    </row>
    <row r="214" spans="1:44">
      <c r="A214" s="160">
        <f t="shared" si="11"/>
        <v>45956</v>
      </c>
      <c r="B214" s="157">
        <f>YEAR(Table7[[#This Row],[Date]])+IF(MONTH(Table7[[#This Row],[Date]])&gt;=4,1,0)</f>
        <v>2026</v>
      </c>
      <c r="C214" s="157">
        <f>YEAR(Table7[[#This Row],[Date]])</f>
        <v>2025</v>
      </c>
      <c r="D214" s="159">
        <f t="shared" si="10"/>
        <v>45931</v>
      </c>
      <c r="AR214" s="157">
        <f t="shared" si="12"/>
        <v>0</v>
      </c>
    </row>
    <row r="215" spans="1:44">
      <c r="A215" s="160">
        <f t="shared" si="11"/>
        <v>45957</v>
      </c>
      <c r="B215" s="157">
        <f>YEAR(Table7[[#This Row],[Date]])+IF(MONTH(Table7[[#This Row],[Date]])&gt;=4,1,0)</f>
        <v>2026</v>
      </c>
      <c r="C215" s="157">
        <f>YEAR(Table7[[#This Row],[Date]])</f>
        <v>2025</v>
      </c>
      <c r="D215" s="159">
        <f t="shared" si="10"/>
        <v>45931</v>
      </c>
      <c r="AR215" s="157">
        <f t="shared" si="12"/>
        <v>0</v>
      </c>
    </row>
    <row r="216" spans="1:44">
      <c r="A216" s="160">
        <f t="shared" si="11"/>
        <v>45958</v>
      </c>
      <c r="B216" s="157">
        <f>YEAR(Table7[[#This Row],[Date]])+IF(MONTH(Table7[[#This Row],[Date]])&gt;=4,1,0)</f>
        <v>2026</v>
      </c>
      <c r="C216" s="157">
        <f>YEAR(Table7[[#This Row],[Date]])</f>
        <v>2025</v>
      </c>
      <c r="D216" s="159">
        <f t="shared" si="10"/>
        <v>45931</v>
      </c>
      <c r="AR216" s="157">
        <f t="shared" si="12"/>
        <v>0</v>
      </c>
    </row>
    <row r="217" spans="1:44">
      <c r="A217" s="160">
        <f t="shared" si="11"/>
        <v>45959</v>
      </c>
      <c r="B217" s="157">
        <f>YEAR(Table7[[#This Row],[Date]])+IF(MONTH(Table7[[#This Row],[Date]])&gt;=4,1,0)</f>
        <v>2026</v>
      </c>
      <c r="C217" s="157">
        <f>YEAR(Table7[[#This Row],[Date]])</f>
        <v>2025</v>
      </c>
      <c r="D217" s="159">
        <f t="shared" si="10"/>
        <v>45931</v>
      </c>
      <c r="AR217" s="157">
        <f t="shared" si="12"/>
        <v>0</v>
      </c>
    </row>
    <row r="218" spans="1:44">
      <c r="A218" s="160">
        <f t="shared" si="11"/>
        <v>45960</v>
      </c>
      <c r="B218" s="157">
        <f>YEAR(Table7[[#This Row],[Date]])+IF(MONTH(Table7[[#This Row],[Date]])&gt;=4,1,0)</f>
        <v>2026</v>
      </c>
      <c r="C218" s="157">
        <f>YEAR(Table7[[#This Row],[Date]])</f>
        <v>2025</v>
      </c>
      <c r="D218" s="159">
        <f t="shared" si="10"/>
        <v>45931</v>
      </c>
      <c r="AR218" s="157">
        <f t="shared" si="12"/>
        <v>0</v>
      </c>
    </row>
    <row r="219" spans="1:44">
      <c r="A219" s="160">
        <f t="shared" si="11"/>
        <v>45961</v>
      </c>
      <c r="B219" s="157">
        <f>YEAR(Table7[[#This Row],[Date]])+IF(MONTH(Table7[[#This Row],[Date]])&gt;=4,1,0)</f>
        <v>2026</v>
      </c>
      <c r="C219" s="157">
        <f>YEAR(Table7[[#This Row],[Date]])</f>
        <v>2025</v>
      </c>
      <c r="D219" s="159">
        <f t="shared" si="10"/>
        <v>45931</v>
      </c>
      <c r="AR219" s="157">
        <f t="shared" si="12"/>
        <v>0</v>
      </c>
    </row>
    <row r="220" spans="1:44">
      <c r="A220" s="160">
        <f t="shared" si="11"/>
        <v>45962</v>
      </c>
      <c r="B220" s="157">
        <f>YEAR(Table7[[#This Row],[Date]])+IF(MONTH(Table7[[#This Row],[Date]])&gt;=4,1,0)</f>
        <v>2026</v>
      </c>
      <c r="C220" s="157">
        <f>YEAR(Table7[[#This Row],[Date]])</f>
        <v>2025</v>
      </c>
      <c r="D220" s="159">
        <f t="shared" si="10"/>
        <v>45962</v>
      </c>
      <c r="AR220" s="157">
        <f t="shared" si="12"/>
        <v>0</v>
      </c>
    </row>
    <row r="221" spans="1:44">
      <c r="A221" s="160">
        <f t="shared" si="11"/>
        <v>45963</v>
      </c>
      <c r="B221" s="157">
        <f>YEAR(Table7[[#This Row],[Date]])+IF(MONTH(Table7[[#This Row],[Date]])&gt;=4,1,0)</f>
        <v>2026</v>
      </c>
      <c r="C221" s="157">
        <f>YEAR(Table7[[#This Row],[Date]])</f>
        <v>2025</v>
      </c>
      <c r="D221" s="159">
        <f t="shared" si="10"/>
        <v>45962</v>
      </c>
      <c r="AR221" s="157">
        <f t="shared" si="12"/>
        <v>0</v>
      </c>
    </row>
    <row r="222" spans="1:44">
      <c r="A222" s="160">
        <f t="shared" si="11"/>
        <v>45964</v>
      </c>
      <c r="B222" s="157">
        <f>YEAR(Table7[[#This Row],[Date]])+IF(MONTH(Table7[[#This Row],[Date]])&gt;=4,1,0)</f>
        <v>2026</v>
      </c>
      <c r="C222" s="157">
        <f>YEAR(Table7[[#This Row],[Date]])</f>
        <v>2025</v>
      </c>
      <c r="D222" s="159">
        <f t="shared" si="10"/>
        <v>45962</v>
      </c>
      <c r="AR222" s="157">
        <f t="shared" si="12"/>
        <v>0</v>
      </c>
    </row>
    <row r="223" spans="1:44">
      <c r="A223" s="160">
        <f t="shared" si="11"/>
        <v>45965</v>
      </c>
      <c r="B223" s="157">
        <f>YEAR(Table7[[#This Row],[Date]])+IF(MONTH(Table7[[#This Row],[Date]])&gt;=4,1,0)</f>
        <v>2026</v>
      </c>
      <c r="C223" s="157">
        <f>YEAR(Table7[[#This Row],[Date]])</f>
        <v>2025</v>
      </c>
      <c r="D223" s="159">
        <f t="shared" si="10"/>
        <v>45962</v>
      </c>
      <c r="AR223" s="157">
        <f t="shared" si="12"/>
        <v>0</v>
      </c>
    </row>
    <row r="224" spans="1:44">
      <c r="A224" s="160">
        <f t="shared" si="11"/>
        <v>45966</v>
      </c>
      <c r="B224" s="157">
        <f>YEAR(Table7[[#This Row],[Date]])+IF(MONTH(Table7[[#This Row],[Date]])&gt;=4,1,0)</f>
        <v>2026</v>
      </c>
      <c r="C224" s="157">
        <f>YEAR(Table7[[#This Row],[Date]])</f>
        <v>2025</v>
      </c>
      <c r="D224" s="159">
        <f t="shared" si="10"/>
        <v>45962</v>
      </c>
      <c r="AR224" s="157">
        <f t="shared" si="12"/>
        <v>0</v>
      </c>
    </row>
    <row r="225" spans="1:44">
      <c r="A225" s="160">
        <f t="shared" si="11"/>
        <v>45967</v>
      </c>
      <c r="B225" s="157">
        <f>YEAR(Table7[[#This Row],[Date]])+IF(MONTH(Table7[[#This Row],[Date]])&gt;=4,1,0)</f>
        <v>2026</v>
      </c>
      <c r="C225" s="157">
        <f>YEAR(Table7[[#This Row],[Date]])</f>
        <v>2025</v>
      </c>
      <c r="D225" s="159">
        <f t="shared" si="10"/>
        <v>45962</v>
      </c>
      <c r="AR225" s="157">
        <f t="shared" si="12"/>
        <v>0</v>
      </c>
    </row>
    <row r="226" spans="1:44">
      <c r="A226" s="160">
        <f t="shared" si="11"/>
        <v>45968</v>
      </c>
      <c r="B226" s="157">
        <f>YEAR(Table7[[#This Row],[Date]])+IF(MONTH(Table7[[#This Row],[Date]])&gt;=4,1,0)</f>
        <v>2026</v>
      </c>
      <c r="C226" s="157">
        <f>YEAR(Table7[[#This Row],[Date]])</f>
        <v>2025</v>
      </c>
      <c r="D226" s="159">
        <f t="shared" si="10"/>
        <v>45962</v>
      </c>
      <c r="AR226" s="157">
        <f t="shared" si="12"/>
        <v>0</v>
      </c>
    </row>
    <row r="227" spans="1:44">
      <c r="A227" s="160">
        <f t="shared" si="11"/>
        <v>45969</v>
      </c>
      <c r="B227" s="157">
        <f>YEAR(Table7[[#This Row],[Date]])+IF(MONTH(Table7[[#This Row],[Date]])&gt;=4,1,0)</f>
        <v>2026</v>
      </c>
      <c r="C227" s="157">
        <f>YEAR(Table7[[#This Row],[Date]])</f>
        <v>2025</v>
      </c>
      <c r="D227" s="159">
        <f t="shared" si="10"/>
        <v>45962</v>
      </c>
      <c r="AR227" s="157">
        <f t="shared" si="12"/>
        <v>0</v>
      </c>
    </row>
    <row r="228" spans="1:44">
      <c r="A228" s="160">
        <f t="shared" si="11"/>
        <v>45970</v>
      </c>
      <c r="B228" s="157">
        <f>YEAR(Table7[[#This Row],[Date]])+IF(MONTH(Table7[[#This Row],[Date]])&gt;=4,1,0)</f>
        <v>2026</v>
      </c>
      <c r="C228" s="157">
        <f>YEAR(Table7[[#This Row],[Date]])</f>
        <v>2025</v>
      </c>
      <c r="D228" s="159">
        <f t="shared" ref="D228:D280" si="13">A228-DAY(A228)+1</f>
        <v>45962</v>
      </c>
      <c r="AR228" s="157">
        <f t="shared" si="12"/>
        <v>0</v>
      </c>
    </row>
    <row r="229" spans="1:44">
      <c r="A229" s="160">
        <f t="shared" si="11"/>
        <v>45971</v>
      </c>
      <c r="B229" s="157">
        <f>YEAR(Table7[[#This Row],[Date]])+IF(MONTH(Table7[[#This Row],[Date]])&gt;=4,1,0)</f>
        <v>2026</v>
      </c>
      <c r="C229" s="157">
        <f>YEAR(Table7[[#This Row],[Date]])</f>
        <v>2025</v>
      </c>
      <c r="D229" s="159">
        <f t="shared" si="13"/>
        <v>45962</v>
      </c>
      <c r="AR229" s="157">
        <f t="shared" si="12"/>
        <v>0</v>
      </c>
    </row>
    <row r="230" spans="1:44">
      <c r="A230" s="160">
        <f t="shared" ref="A230:A280" si="14">A229+1</f>
        <v>45972</v>
      </c>
      <c r="B230" s="157">
        <f>YEAR(Table7[[#This Row],[Date]])+IF(MONTH(Table7[[#This Row],[Date]])&gt;=4,1,0)</f>
        <v>2026</v>
      </c>
      <c r="C230" s="157">
        <f>YEAR(Table7[[#This Row],[Date]])</f>
        <v>2025</v>
      </c>
      <c r="D230" s="159">
        <f t="shared" si="13"/>
        <v>45962</v>
      </c>
      <c r="AR230" s="157">
        <f t="shared" si="12"/>
        <v>0</v>
      </c>
    </row>
    <row r="231" spans="1:44">
      <c r="A231" s="160">
        <f t="shared" si="14"/>
        <v>45973</v>
      </c>
      <c r="B231" s="157">
        <f>YEAR(Table7[[#This Row],[Date]])+IF(MONTH(Table7[[#This Row],[Date]])&gt;=4,1,0)</f>
        <v>2026</v>
      </c>
      <c r="C231" s="157">
        <f>YEAR(Table7[[#This Row],[Date]])</f>
        <v>2025</v>
      </c>
      <c r="D231" s="159">
        <f t="shared" si="13"/>
        <v>45962</v>
      </c>
      <c r="AR231" s="157">
        <f t="shared" si="12"/>
        <v>0</v>
      </c>
    </row>
    <row r="232" spans="1:44">
      <c r="A232" s="160">
        <f t="shared" si="14"/>
        <v>45974</v>
      </c>
      <c r="B232" s="157">
        <f>YEAR(Table7[[#This Row],[Date]])+IF(MONTH(Table7[[#This Row],[Date]])&gt;=4,1,0)</f>
        <v>2026</v>
      </c>
      <c r="C232" s="157">
        <f>YEAR(Table7[[#This Row],[Date]])</f>
        <v>2025</v>
      </c>
      <c r="D232" s="159">
        <f t="shared" si="13"/>
        <v>45962</v>
      </c>
      <c r="AR232" s="157">
        <f t="shared" si="12"/>
        <v>0</v>
      </c>
    </row>
    <row r="233" spans="1:44">
      <c r="A233" s="160">
        <f t="shared" si="14"/>
        <v>45975</v>
      </c>
      <c r="B233" s="157">
        <f>YEAR(Table7[[#This Row],[Date]])+IF(MONTH(Table7[[#This Row],[Date]])&gt;=4,1,0)</f>
        <v>2026</v>
      </c>
      <c r="C233" s="157">
        <f>YEAR(Table7[[#This Row],[Date]])</f>
        <v>2025</v>
      </c>
      <c r="D233" s="159">
        <f t="shared" si="13"/>
        <v>45962</v>
      </c>
      <c r="AR233" s="157">
        <f t="shared" si="12"/>
        <v>0</v>
      </c>
    </row>
    <row r="234" spans="1:44">
      <c r="A234" s="160">
        <f t="shared" si="14"/>
        <v>45976</v>
      </c>
      <c r="B234" s="157">
        <f>YEAR(Table7[[#This Row],[Date]])+IF(MONTH(Table7[[#This Row],[Date]])&gt;=4,1,0)</f>
        <v>2026</v>
      </c>
      <c r="C234" s="157">
        <f>YEAR(Table7[[#This Row],[Date]])</f>
        <v>2025</v>
      </c>
      <c r="D234" s="159">
        <f t="shared" si="13"/>
        <v>45962</v>
      </c>
      <c r="AR234" s="157">
        <f t="shared" si="12"/>
        <v>0</v>
      </c>
    </row>
    <row r="235" spans="1:44">
      <c r="A235" s="160">
        <f t="shared" si="14"/>
        <v>45977</v>
      </c>
      <c r="B235" s="157">
        <f>YEAR(Table7[[#This Row],[Date]])+IF(MONTH(Table7[[#This Row],[Date]])&gt;=4,1,0)</f>
        <v>2026</v>
      </c>
      <c r="C235" s="157">
        <f>YEAR(Table7[[#This Row],[Date]])</f>
        <v>2025</v>
      </c>
      <c r="D235" s="159">
        <f t="shared" si="13"/>
        <v>45962</v>
      </c>
      <c r="AR235" s="157">
        <f t="shared" si="12"/>
        <v>0</v>
      </c>
    </row>
    <row r="236" spans="1:44">
      <c r="A236" s="160">
        <f t="shared" si="14"/>
        <v>45978</v>
      </c>
      <c r="B236" s="157">
        <f>YEAR(Table7[[#This Row],[Date]])+IF(MONTH(Table7[[#This Row],[Date]])&gt;=4,1,0)</f>
        <v>2026</v>
      </c>
      <c r="C236" s="157">
        <f>YEAR(Table7[[#This Row],[Date]])</f>
        <v>2025</v>
      </c>
      <c r="D236" s="159">
        <f t="shared" si="13"/>
        <v>45962</v>
      </c>
      <c r="AR236" s="157">
        <f t="shared" si="12"/>
        <v>0</v>
      </c>
    </row>
    <row r="237" spans="1:44">
      <c r="A237" s="160">
        <f t="shared" si="14"/>
        <v>45979</v>
      </c>
      <c r="B237" s="157">
        <f>YEAR(Table7[[#This Row],[Date]])+IF(MONTH(Table7[[#This Row],[Date]])&gt;=4,1,0)</f>
        <v>2026</v>
      </c>
      <c r="C237" s="157">
        <f>YEAR(Table7[[#This Row],[Date]])</f>
        <v>2025</v>
      </c>
      <c r="D237" s="159">
        <f t="shared" si="13"/>
        <v>45962</v>
      </c>
      <c r="AR237" s="157">
        <f t="shared" si="12"/>
        <v>0</v>
      </c>
    </row>
    <row r="238" spans="1:44">
      <c r="A238" s="160">
        <f t="shared" si="14"/>
        <v>45980</v>
      </c>
      <c r="B238" s="157">
        <f>YEAR(Table7[[#This Row],[Date]])+IF(MONTH(Table7[[#This Row],[Date]])&gt;=4,1,0)</f>
        <v>2026</v>
      </c>
      <c r="C238" s="157">
        <f>YEAR(Table7[[#This Row],[Date]])</f>
        <v>2025</v>
      </c>
      <c r="D238" s="159">
        <f t="shared" si="13"/>
        <v>45962</v>
      </c>
      <c r="AR238" s="157">
        <f t="shared" si="12"/>
        <v>0</v>
      </c>
    </row>
    <row r="239" spans="1:44">
      <c r="A239" s="160">
        <f t="shared" si="14"/>
        <v>45981</v>
      </c>
      <c r="B239" s="157">
        <f>YEAR(Table7[[#This Row],[Date]])+IF(MONTH(Table7[[#This Row],[Date]])&gt;=4,1,0)</f>
        <v>2026</v>
      </c>
      <c r="C239" s="157">
        <f>YEAR(Table7[[#This Row],[Date]])</f>
        <v>2025</v>
      </c>
      <c r="D239" s="159">
        <f t="shared" si="13"/>
        <v>45962</v>
      </c>
      <c r="AR239" s="157">
        <f t="shared" si="12"/>
        <v>0</v>
      </c>
    </row>
    <row r="240" spans="1:44">
      <c r="A240" s="160">
        <f t="shared" si="14"/>
        <v>45982</v>
      </c>
      <c r="B240" s="157">
        <f>YEAR(Table7[[#This Row],[Date]])+IF(MONTH(Table7[[#This Row],[Date]])&gt;=4,1,0)</f>
        <v>2026</v>
      </c>
      <c r="C240" s="157">
        <f>YEAR(Table7[[#This Row],[Date]])</f>
        <v>2025</v>
      </c>
      <c r="D240" s="159">
        <f t="shared" si="13"/>
        <v>45962</v>
      </c>
      <c r="AR240" s="157">
        <f t="shared" si="12"/>
        <v>0</v>
      </c>
    </row>
    <row r="241" spans="1:44">
      <c r="A241" s="160">
        <f t="shared" si="14"/>
        <v>45983</v>
      </c>
      <c r="B241" s="157">
        <f>YEAR(Table7[[#This Row],[Date]])+IF(MONTH(Table7[[#This Row],[Date]])&gt;=4,1,0)</f>
        <v>2026</v>
      </c>
      <c r="C241" s="157">
        <f>YEAR(Table7[[#This Row],[Date]])</f>
        <v>2025</v>
      </c>
      <c r="D241" s="159">
        <f t="shared" si="13"/>
        <v>45962</v>
      </c>
      <c r="AR241" s="157">
        <f t="shared" si="12"/>
        <v>0</v>
      </c>
    </row>
    <row r="242" spans="1:44">
      <c r="A242" s="160">
        <f t="shared" si="14"/>
        <v>45984</v>
      </c>
      <c r="B242" s="157">
        <f>YEAR(Table7[[#This Row],[Date]])+IF(MONTH(Table7[[#This Row],[Date]])&gt;=4,1,0)</f>
        <v>2026</v>
      </c>
      <c r="C242" s="157">
        <f>YEAR(Table7[[#This Row],[Date]])</f>
        <v>2025</v>
      </c>
      <c r="D242" s="159">
        <f t="shared" si="13"/>
        <v>45962</v>
      </c>
      <c r="AR242" s="157">
        <f t="shared" si="12"/>
        <v>0</v>
      </c>
    </row>
    <row r="243" spans="1:44">
      <c r="A243" s="160">
        <f t="shared" si="14"/>
        <v>45985</v>
      </c>
      <c r="B243" s="157">
        <f>YEAR(Table7[[#This Row],[Date]])+IF(MONTH(Table7[[#This Row],[Date]])&gt;=4,1,0)</f>
        <v>2026</v>
      </c>
      <c r="C243" s="157">
        <f>YEAR(Table7[[#This Row],[Date]])</f>
        <v>2025</v>
      </c>
      <c r="D243" s="159">
        <f t="shared" si="13"/>
        <v>45962</v>
      </c>
      <c r="AR243" s="157">
        <f t="shared" si="12"/>
        <v>0</v>
      </c>
    </row>
    <row r="244" spans="1:44">
      <c r="A244" s="160">
        <f t="shared" si="14"/>
        <v>45986</v>
      </c>
      <c r="B244" s="157">
        <f>YEAR(Table7[[#This Row],[Date]])+IF(MONTH(Table7[[#This Row],[Date]])&gt;=4,1,0)</f>
        <v>2026</v>
      </c>
      <c r="C244" s="157">
        <f>YEAR(Table7[[#This Row],[Date]])</f>
        <v>2025</v>
      </c>
      <c r="D244" s="159">
        <f t="shared" si="13"/>
        <v>45962</v>
      </c>
      <c r="AR244" s="157">
        <f t="shared" si="12"/>
        <v>0</v>
      </c>
    </row>
    <row r="245" spans="1:44">
      <c r="A245" s="160">
        <f t="shared" si="14"/>
        <v>45987</v>
      </c>
      <c r="B245" s="157">
        <f>YEAR(Table7[[#This Row],[Date]])+IF(MONTH(Table7[[#This Row],[Date]])&gt;=4,1,0)</f>
        <v>2026</v>
      </c>
      <c r="C245" s="157">
        <f>YEAR(Table7[[#This Row],[Date]])</f>
        <v>2025</v>
      </c>
      <c r="D245" s="159">
        <f t="shared" si="13"/>
        <v>45962</v>
      </c>
      <c r="AR245" s="157">
        <f t="shared" si="12"/>
        <v>0</v>
      </c>
    </row>
    <row r="246" spans="1:44">
      <c r="A246" s="160">
        <f t="shared" si="14"/>
        <v>45988</v>
      </c>
      <c r="B246" s="157">
        <f>YEAR(Table7[[#This Row],[Date]])+IF(MONTH(Table7[[#This Row],[Date]])&gt;=4,1,0)</f>
        <v>2026</v>
      </c>
      <c r="C246" s="157">
        <f>YEAR(Table7[[#This Row],[Date]])</f>
        <v>2025</v>
      </c>
      <c r="D246" s="159">
        <f t="shared" si="13"/>
        <v>45962</v>
      </c>
      <c r="AR246" s="157">
        <f t="shared" si="12"/>
        <v>0</v>
      </c>
    </row>
    <row r="247" spans="1:44">
      <c r="A247" s="160">
        <f t="shared" si="14"/>
        <v>45989</v>
      </c>
      <c r="B247" s="157">
        <f>YEAR(Table7[[#This Row],[Date]])+IF(MONTH(Table7[[#This Row],[Date]])&gt;=4,1,0)</f>
        <v>2026</v>
      </c>
      <c r="C247" s="157">
        <f>YEAR(Table7[[#This Row],[Date]])</f>
        <v>2025</v>
      </c>
      <c r="D247" s="159">
        <f t="shared" si="13"/>
        <v>45962</v>
      </c>
      <c r="AR247" s="157">
        <f t="shared" si="12"/>
        <v>0</v>
      </c>
    </row>
    <row r="248" spans="1:44">
      <c r="A248" s="160">
        <f t="shared" si="14"/>
        <v>45990</v>
      </c>
      <c r="B248" s="157">
        <f>YEAR(Table7[[#This Row],[Date]])+IF(MONTH(Table7[[#This Row],[Date]])&gt;=4,1,0)</f>
        <v>2026</v>
      </c>
      <c r="C248" s="157">
        <f>YEAR(Table7[[#This Row],[Date]])</f>
        <v>2025</v>
      </c>
      <c r="D248" s="159">
        <f t="shared" si="13"/>
        <v>45962</v>
      </c>
      <c r="AR248" s="157">
        <f t="shared" si="12"/>
        <v>0</v>
      </c>
    </row>
    <row r="249" spans="1:44">
      <c r="A249" s="160">
        <f t="shared" si="14"/>
        <v>45991</v>
      </c>
      <c r="B249" s="157">
        <f>YEAR(Table7[[#This Row],[Date]])+IF(MONTH(Table7[[#This Row],[Date]])&gt;=4,1,0)</f>
        <v>2026</v>
      </c>
      <c r="C249" s="157">
        <f>YEAR(Table7[[#This Row],[Date]])</f>
        <v>2025</v>
      </c>
      <c r="D249" s="159">
        <f t="shared" si="13"/>
        <v>45962</v>
      </c>
      <c r="AR249" s="157">
        <f t="shared" si="12"/>
        <v>0</v>
      </c>
    </row>
    <row r="250" spans="1:44">
      <c r="A250" s="160">
        <f t="shared" si="14"/>
        <v>45992</v>
      </c>
      <c r="B250" s="157">
        <f>YEAR(Table7[[#This Row],[Date]])+IF(MONTH(Table7[[#This Row],[Date]])&gt;=4,1,0)</f>
        <v>2026</v>
      </c>
      <c r="C250" s="157">
        <f>YEAR(Table7[[#This Row],[Date]])</f>
        <v>2025</v>
      </c>
      <c r="D250" s="159">
        <f t="shared" si="13"/>
        <v>45992</v>
      </c>
      <c r="AR250" s="157">
        <f t="shared" si="12"/>
        <v>0</v>
      </c>
    </row>
    <row r="251" spans="1:44">
      <c r="A251" s="160">
        <f t="shared" si="14"/>
        <v>45993</v>
      </c>
      <c r="B251" s="157">
        <f>YEAR(Table7[[#This Row],[Date]])+IF(MONTH(Table7[[#This Row],[Date]])&gt;=4,1,0)</f>
        <v>2026</v>
      </c>
      <c r="C251" s="157">
        <f>YEAR(Table7[[#This Row],[Date]])</f>
        <v>2025</v>
      </c>
      <c r="D251" s="159">
        <f t="shared" si="13"/>
        <v>45992</v>
      </c>
      <c r="AR251" s="157">
        <f t="shared" si="12"/>
        <v>0</v>
      </c>
    </row>
    <row r="252" spans="1:44">
      <c r="A252" s="160">
        <f t="shared" si="14"/>
        <v>45994</v>
      </c>
      <c r="B252" s="157">
        <f>YEAR(Table7[[#This Row],[Date]])+IF(MONTH(Table7[[#This Row],[Date]])&gt;=4,1,0)</f>
        <v>2026</v>
      </c>
      <c r="C252" s="157">
        <f>YEAR(Table7[[#This Row],[Date]])</f>
        <v>2025</v>
      </c>
      <c r="D252" s="159">
        <f t="shared" si="13"/>
        <v>45992</v>
      </c>
      <c r="AR252" s="157">
        <f t="shared" si="12"/>
        <v>0</v>
      </c>
    </row>
    <row r="253" spans="1:44">
      <c r="A253" s="160">
        <f t="shared" si="14"/>
        <v>45995</v>
      </c>
      <c r="B253" s="157">
        <f>YEAR(Table7[[#This Row],[Date]])+IF(MONTH(Table7[[#This Row],[Date]])&gt;=4,1,0)</f>
        <v>2026</v>
      </c>
      <c r="C253" s="157">
        <f>YEAR(Table7[[#This Row],[Date]])</f>
        <v>2025</v>
      </c>
      <c r="D253" s="159">
        <f t="shared" si="13"/>
        <v>45992</v>
      </c>
      <c r="AR253" s="157">
        <f t="shared" si="12"/>
        <v>0</v>
      </c>
    </row>
    <row r="254" spans="1:44">
      <c r="A254" s="160">
        <f t="shared" si="14"/>
        <v>45996</v>
      </c>
      <c r="B254" s="157">
        <f>YEAR(Table7[[#This Row],[Date]])+IF(MONTH(Table7[[#This Row],[Date]])&gt;=4,1,0)</f>
        <v>2026</v>
      </c>
      <c r="C254" s="157">
        <f>YEAR(Table7[[#This Row],[Date]])</f>
        <v>2025</v>
      </c>
      <c r="D254" s="159">
        <f t="shared" si="13"/>
        <v>45992</v>
      </c>
      <c r="AR254" s="157">
        <f t="shared" si="12"/>
        <v>0</v>
      </c>
    </row>
    <row r="255" spans="1:44">
      <c r="A255" s="160">
        <f t="shared" si="14"/>
        <v>45997</v>
      </c>
      <c r="B255" s="157">
        <f>YEAR(Table7[[#This Row],[Date]])+IF(MONTH(Table7[[#This Row],[Date]])&gt;=4,1,0)</f>
        <v>2026</v>
      </c>
      <c r="C255" s="157">
        <f>YEAR(Table7[[#This Row],[Date]])</f>
        <v>2025</v>
      </c>
      <c r="D255" s="159">
        <f t="shared" si="13"/>
        <v>45992</v>
      </c>
      <c r="AR255" s="157">
        <f t="shared" si="12"/>
        <v>0</v>
      </c>
    </row>
    <row r="256" spans="1:44">
      <c r="A256" s="160">
        <f t="shared" si="14"/>
        <v>45998</v>
      </c>
      <c r="B256" s="157">
        <f>YEAR(Table7[[#This Row],[Date]])+IF(MONTH(Table7[[#This Row],[Date]])&gt;=4,1,0)</f>
        <v>2026</v>
      </c>
      <c r="C256" s="157">
        <f>YEAR(Table7[[#This Row],[Date]])</f>
        <v>2025</v>
      </c>
      <c r="D256" s="159">
        <f t="shared" si="13"/>
        <v>45992</v>
      </c>
      <c r="AR256" s="157">
        <f t="shared" si="12"/>
        <v>0</v>
      </c>
    </row>
    <row r="257" spans="1:44">
      <c r="A257" s="160">
        <f t="shared" si="14"/>
        <v>45999</v>
      </c>
      <c r="B257" s="157">
        <f>YEAR(Table7[[#This Row],[Date]])+IF(MONTH(Table7[[#This Row],[Date]])&gt;=4,1,0)</f>
        <v>2026</v>
      </c>
      <c r="C257" s="157">
        <f>YEAR(Table7[[#This Row],[Date]])</f>
        <v>2025</v>
      </c>
      <c r="D257" s="159">
        <f t="shared" si="13"/>
        <v>45992</v>
      </c>
      <c r="AR257" s="157">
        <f t="shared" si="12"/>
        <v>0</v>
      </c>
    </row>
    <row r="258" spans="1:44">
      <c r="A258" s="160">
        <f t="shared" si="14"/>
        <v>46000</v>
      </c>
      <c r="B258" s="157">
        <f>YEAR(Table7[[#This Row],[Date]])+IF(MONTH(Table7[[#This Row],[Date]])&gt;=4,1,0)</f>
        <v>2026</v>
      </c>
      <c r="C258" s="157">
        <f>YEAR(Table7[[#This Row],[Date]])</f>
        <v>2025</v>
      </c>
      <c r="D258" s="159">
        <f t="shared" si="13"/>
        <v>45992</v>
      </c>
      <c r="AR258" s="157">
        <f t="shared" si="12"/>
        <v>0</v>
      </c>
    </row>
    <row r="259" spans="1:44">
      <c r="A259" s="160">
        <f t="shared" si="14"/>
        <v>46001</v>
      </c>
      <c r="B259" s="157">
        <f>YEAR(Table7[[#This Row],[Date]])+IF(MONTH(Table7[[#This Row],[Date]])&gt;=4,1,0)</f>
        <v>2026</v>
      </c>
      <c r="C259" s="157">
        <f>YEAR(Table7[[#This Row],[Date]])</f>
        <v>2025</v>
      </c>
      <c r="D259" s="159">
        <f t="shared" si="13"/>
        <v>45992</v>
      </c>
      <c r="AR259" s="157">
        <f t="shared" ref="AR259:AR280" si="15">SUM(E259:AQ259)</f>
        <v>0</v>
      </c>
    </row>
    <row r="260" spans="1:44">
      <c r="A260" s="160">
        <f t="shared" si="14"/>
        <v>46002</v>
      </c>
      <c r="B260" s="157">
        <f>YEAR(Table7[[#This Row],[Date]])+IF(MONTH(Table7[[#This Row],[Date]])&gt;=4,1,0)</f>
        <v>2026</v>
      </c>
      <c r="C260" s="157">
        <f>YEAR(Table7[[#This Row],[Date]])</f>
        <v>2025</v>
      </c>
      <c r="D260" s="159">
        <f t="shared" si="13"/>
        <v>45992</v>
      </c>
      <c r="AR260" s="157">
        <f t="shared" si="15"/>
        <v>0</v>
      </c>
    </row>
    <row r="261" spans="1:44">
      <c r="A261" s="160">
        <f t="shared" si="14"/>
        <v>46003</v>
      </c>
      <c r="B261" s="157">
        <f>YEAR(Table7[[#This Row],[Date]])+IF(MONTH(Table7[[#This Row],[Date]])&gt;=4,1,0)</f>
        <v>2026</v>
      </c>
      <c r="C261" s="157">
        <f>YEAR(Table7[[#This Row],[Date]])</f>
        <v>2025</v>
      </c>
      <c r="D261" s="159">
        <f t="shared" si="13"/>
        <v>45992</v>
      </c>
      <c r="AR261" s="157">
        <f t="shared" si="15"/>
        <v>0</v>
      </c>
    </row>
    <row r="262" spans="1:44">
      <c r="A262" s="160">
        <f t="shared" si="14"/>
        <v>46004</v>
      </c>
      <c r="B262" s="157">
        <f>YEAR(Table7[[#This Row],[Date]])+IF(MONTH(Table7[[#This Row],[Date]])&gt;=4,1,0)</f>
        <v>2026</v>
      </c>
      <c r="C262" s="157">
        <f>YEAR(Table7[[#This Row],[Date]])</f>
        <v>2025</v>
      </c>
      <c r="D262" s="159">
        <f t="shared" si="13"/>
        <v>45992</v>
      </c>
      <c r="AR262" s="157">
        <f t="shared" si="15"/>
        <v>0</v>
      </c>
    </row>
    <row r="263" spans="1:44">
      <c r="A263" s="160">
        <f t="shared" si="14"/>
        <v>46005</v>
      </c>
      <c r="B263" s="157">
        <f>YEAR(Table7[[#This Row],[Date]])+IF(MONTH(Table7[[#This Row],[Date]])&gt;=4,1,0)</f>
        <v>2026</v>
      </c>
      <c r="C263" s="157">
        <f>YEAR(Table7[[#This Row],[Date]])</f>
        <v>2025</v>
      </c>
      <c r="D263" s="159">
        <f t="shared" si="13"/>
        <v>45992</v>
      </c>
      <c r="AR263" s="157">
        <f t="shared" si="15"/>
        <v>0</v>
      </c>
    </row>
    <row r="264" spans="1:44">
      <c r="A264" s="160">
        <f t="shared" si="14"/>
        <v>46006</v>
      </c>
      <c r="B264" s="157">
        <f>YEAR(Table7[[#This Row],[Date]])+IF(MONTH(Table7[[#This Row],[Date]])&gt;=4,1,0)</f>
        <v>2026</v>
      </c>
      <c r="C264" s="157">
        <f>YEAR(Table7[[#This Row],[Date]])</f>
        <v>2025</v>
      </c>
      <c r="D264" s="159">
        <f t="shared" si="13"/>
        <v>45992</v>
      </c>
      <c r="AR264" s="157">
        <f t="shared" si="15"/>
        <v>0</v>
      </c>
    </row>
    <row r="265" spans="1:44">
      <c r="A265" s="160">
        <f t="shared" si="14"/>
        <v>46007</v>
      </c>
      <c r="B265" s="157">
        <f>YEAR(Table7[[#This Row],[Date]])+IF(MONTH(Table7[[#This Row],[Date]])&gt;=4,1,0)</f>
        <v>2026</v>
      </c>
      <c r="C265" s="157">
        <f>YEAR(Table7[[#This Row],[Date]])</f>
        <v>2025</v>
      </c>
      <c r="D265" s="159">
        <f t="shared" si="13"/>
        <v>45992</v>
      </c>
      <c r="AR265" s="157">
        <f t="shared" si="15"/>
        <v>0</v>
      </c>
    </row>
    <row r="266" spans="1:44">
      <c r="A266" s="160">
        <f t="shared" si="14"/>
        <v>46008</v>
      </c>
      <c r="B266" s="157">
        <f>YEAR(Table7[[#This Row],[Date]])+IF(MONTH(Table7[[#This Row],[Date]])&gt;=4,1,0)</f>
        <v>2026</v>
      </c>
      <c r="C266" s="157">
        <f>YEAR(Table7[[#This Row],[Date]])</f>
        <v>2025</v>
      </c>
      <c r="D266" s="159">
        <f t="shared" si="13"/>
        <v>45992</v>
      </c>
      <c r="AR266" s="157">
        <f t="shared" si="15"/>
        <v>0</v>
      </c>
    </row>
    <row r="267" spans="1:44">
      <c r="A267" s="160">
        <f t="shared" si="14"/>
        <v>46009</v>
      </c>
      <c r="B267" s="157">
        <f>YEAR(Table7[[#This Row],[Date]])+IF(MONTH(Table7[[#This Row],[Date]])&gt;=4,1,0)</f>
        <v>2026</v>
      </c>
      <c r="C267" s="157">
        <f>YEAR(Table7[[#This Row],[Date]])</f>
        <v>2025</v>
      </c>
      <c r="D267" s="159">
        <f t="shared" si="13"/>
        <v>45992</v>
      </c>
      <c r="AR267" s="157">
        <f t="shared" si="15"/>
        <v>0</v>
      </c>
    </row>
    <row r="268" spans="1:44">
      <c r="A268" s="160">
        <f t="shared" si="14"/>
        <v>46010</v>
      </c>
      <c r="B268" s="157">
        <f>YEAR(Table7[[#This Row],[Date]])+IF(MONTH(Table7[[#This Row],[Date]])&gt;=4,1,0)</f>
        <v>2026</v>
      </c>
      <c r="C268" s="157">
        <f>YEAR(Table7[[#This Row],[Date]])</f>
        <v>2025</v>
      </c>
      <c r="D268" s="159">
        <f t="shared" si="13"/>
        <v>45992</v>
      </c>
      <c r="AR268" s="157">
        <f t="shared" si="15"/>
        <v>0</v>
      </c>
    </row>
    <row r="269" spans="1:44">
      <c r="A269" s="160">
        <f t="shared" si="14"/>
        <v>46011</v>
      </c>
      <c r="B269" s="157">
        <f>YEAR(Table7[[#This Row],[Date]])+IF(MONTH(Table7[[#This Row],[Date]])&gt;=4,1,0)</f>
        <v>2026</v>
      </c>
      <c r="C269" s="157">
        <f>YEAR(Table7[[#This Row],[Date]])</f>
        <v>2025</v>
      </c>
      <c r="D269" s="159">
        <f t="shared" si="13"/>
        <v>45992</v>
      </c>
      <c r="AR269" s="157">
        <f t="shared" si="15"/>
        <v>0</v>
      </c>
    </row>
    <row r="270" spans="1:44">
      <c r="A270" s="160">
        <f t="shared" si="14"/>
        <v>46012</v>
      </c>
      <c r="B270" s="157">
        <f>YEAR(Table7[[#This Row],[Date]])+IF(MONTH(Table7[[#This Row],[Date]])&gt;=4,1,0)</f>
        <v>2026</v>
      </c>
      <c r="C270" s="157">
        <f>YEAR(Table7[[#This Row],[Date]])</f>
        <v>2025</v>
      </c>
      <c r="D270" s="159">
        <f t="shared" si="13"/>
        <v>45992</v>
      </c>
      <c r="AR270" s="157">
        <f t="shared" si="15"/>
        <v>0</v>
      </c>
    </row>
    <row r="271" spans="1:44">
      <c r="A271" s="160">
        <f t="shared" si="14"/>
        <v>46013</v>
      </c>
      <c r="B271" s="157">
        <f>YEAR(Table7[[#This Row],[Date]])+IF(MONTH(Table7[[#This Row],[Date]])&gt;=4,1,0)</f>
        <v>2026</v>
      </c>
      <c r="C271" s="157">
        <f>YEAR(Table7[[#This Row],[Date]])</f>
        <v>2025</v>
      </c>
      <c r="D271" s="159">
        <f t="shared" si="13"/>
        <v>45992</v>
      </c>
      <c r="AR271" s="157">
        <f t="shared" si="15"/>
        <v>0</v>
      </c>
    </row>
    <row r="272" spans="1:44">
      <c r="A272" s="160">
        <f t="shared" si="14"/>
        <v>46014</v>
      </c>
      <c r="B272" s="157">
        <f>YEAR(Table7[[#This Row],[Date]])+IF(MONTH(Table7[[#This Row],[Date]])&gt;=4,1,0)</f>
        <v>2026</v>
      </c>
      <c r="C272" s="157">
        <f>YEAR(Table7[[#This Row],[Date]])</f>
        <v>2025</v>
      </c>
      <c r="D272" s="159">
        <f t="shared" si="13"/>
        <v>45992</v>
      </c>
      <c r="AR272" s="157">
        <f t="shared" si="15"/>
        <v>0</v>
      </c>
    </row>
    <row r="273" spans="1:44">
      <c r="A273" s="160">
        <f t="shared" si="14"/>
        <v>46015</v>
      </c>
      <c r="B273" s="157">
        <f>YEAR(Table7[[#This Row],[Date]])+IF(MONTH(Table7[[#This Row],[Date]])&gt;=4,1,0)</f>
        <v>2026</v>
      </c>
      <c r="C273" s="157">
        <f>YEAR(Table7[[#This Row],[Date]])</f>
        <v>2025</v>
      </c>
      <c r="D273" s="159">
        <f t="shared" si="13"/>
        <v>45992</v>
      </c>
      <c r="AR273" s="157">
        <f t="shared" si="15"/>
        <v>0</v>
      </c>
    </row>
    <row r="274" spans="1:44">
      <c r="A274" s="160">
        <f t="shared" si="14"/>
        <v>46016</v>
      </c>
      <c r="B274" s="157">
        <f>YEAR(Table7[[#This Row],[Date]])+IF(MONTH(Table7[[#This Row],[Date]])&gt;=4,1,0)</f>
        <v>2026</v>
      </c>
      <c r="C274" s="157">
        <f>YEAR(Table7[[#This Row],[Date]])</f>
        <v>2025</v>
      </c>
      <c r="D274" s="159">
        <f t="shared" si="13"/>
        <v>45992</v>
      </c>
      <c r="AR274" s="157">
        <f t="shared" si="15"/>
        <v>0</v>
      </c>
    </row>
    <row r="275" spans="1:44">
      <c r="A275" s="160">
        <f t="shared" si="14"/>
        <v>46017</v>
      </c>
      <c r="B275" s="157">
        <f>YEAR(Table7[[#This Row],[Date]])+IF(MONTH(Table7[[#This Row],[Date]])&gt;=4,1,0)</f>
        <v>2026</v>
      </c>
      <c r="C275" s="157">
        <f>YEAR(Table7[[#This Row],[Date]])</f>
        <v>2025</v>
      </c>
      <c r="D275" s="159">
        <f t="shared" si="13"/>
        <v>45992</v>
      </c>
      <c r="AR275" s="157">
        <f t="shared" si="15"/>
        <v>0</v>
      </c>
    </row>
    <row r="276" spans="1:44">
      <c r="A276" s="160">
        <f t="shared" si="14"/>
        <v>46018</v>
      </c>
      <c r="B276" s="157">
        <f>YEAR(Table7[[#This Row],[Date]])+IF(MONTH(Table7[[#This Row],[Date]])&gt;=4,1,0)</f>
        <v>2026</v>
      </c>
      <c r="C276" s="157">
        <f>YEAR(Table7[[#This Row],[Date]])</f>
        <v>2025</v>
      </c>
      <c r="D276" s="159">
        <f t="shared" si="13"/>
        <v>45992</v>
      </c>
      <c r="AR276" s="157">
        <f t="shared" si="15"/>
        <v>0</v>
      </c>
    </row>
    <row r="277" spans="1:44">
      <c r="A277" s="160">
        <f t="shared" si="14"/>
        <v>46019</v>
      </c>
      <c r="B277" s="157">
        <f>YEAR(Table7[[#This Row],[Date]])+IF(MONTH(Table7[[#This Row],[Date]])&gt;=4,1,0)</f>
        <v>2026</v>
      </c>
      <c r="C277" s="157">
        <f>YEAR(Table7[[#This Row],[Date]])</f>
        <v>2025</v>
      </c>
      <c r="D277" s="159">
        <f t="shared" si="13"/>
        <v>45992</v>
      </c>
      <c r="AR277" s="157">
        <f t="shared" si="15"/>
        <v>0</v>
      </c>
    </row>
    <row r="278" spans="1:44">
      <c r="A278" s="160">
        <f t="shared" si="14"/>
        <v>46020</v>
      </c>
      <c r="B278" s="157">
        <f>YEAR(Table7[[#This Row],[Date]])+IF(MONTH(Table7[[#This Row],[Date]])&gt;=4,1,0)</f>
        <v>2026</v>
      </c>
      <c r="C278" s="157">
        <f>YEAR(Table7[[#This Row],[Date]])</f>
        <v>2025</v>
      </c>
      <c r="D278" s="159">
        <f t="shared" si="13"/>
        <v>45992</v>
      </c>
      <c r="AR278" s="157">
        <f t="shared" si="15"/>
        <v>0</v>
      </c>
    </row>
    <row r="279" spans="1:44">
      <c r="A279" s="160">
        <f t="shared" si="14"/>
        <v>46021</v>
      </c>
      <c r="B279" s="157">
        <f>YEAR(Table7[[#This Row],[Date]])+IF(MONTH(Table7[[#This Row],[Date]])&gt;=4,1,0)</f>
        <v>2026</v>
      </c>
      <c r="C279" s="157">
        <f>YEAR(Table7[[#This Row],[Date]])</f>
        <v>2025</v>
      </c>
      <c r="D279" s="159">
        <f t="shared" si="13"/>
        <v>45992</v>
      </c>
      <c r="AR279" s="157">
        <f t="shared" si="15"/>
        <v>0</v>
      </c>
    </row>
    <row r="280" spans="1:44">
      <c r="A280" s="160">
        <f t="shared" si="14"/>
        <v>46022</v>
      </c>
      <c r="B280" s="157">
        <f>YEAR(Table7[[#This Row],[Date]])+IF(MONTH(Table7[[#This Row],[Date]])&gt;=4,1,0)</f>
        <v>2026</v>
      </c>
      <c r="C280" s="157">
        <f>YEAR(Table7[[#This Row],[Date]])</f>
        <v>2025</v>
      </c>
      <c r="D280" s="159">
        <f t="shared" si="13"/>
        <v>45992</v>
      </c>
      <c r="E280" s="162">
        <v>2411.4870499999997</v>
      </c>
      <c r="F280" s="162">
        <v>891.6197333333331</v>
      </c>
      <c r="G280" s="162">
        <v>1879.9699166666667</v>
      </c>
      <c r="H280" s="162">
        <v>874.26264999999989</v>
      </c>
      <c r="I280" s="162">
        <v>880.47126666666634</v>
      </c>
      <c r="J280" s="162">
        <v>636.22654999999975</v>
      </c>
      <c r="K280" s="162">
        <v>372.88330000000008</v>
      </c>
      <c r="L280" s="162">
        <v>641.51903333333337</v>
      </c>
      <c r="M280" s="162">
        <v>906.08874999999966</v>
      </c>
      <c r="N280" s="162">
        <v>2260.3940000000007</v>
      </c>
      <c r="O280" s="162">
        <v>383.09098333333333</v>
      </c>
      <c r="P280" s="162">
        <v>377.68645000000021</v>
      </c>
      <c r="Q280" s="162">
        <v>2175.7977833333325</v>
      </c>
      <c r="R280" s="162">
        <v>1993.9216333333334</v>
      </c>
      <c r="S280" s="162">
        <v>1758.4656500000006</v>
      </c>
      <c r="T280" s="162">
        <v>2234.110716666667</v>
      </c>
      <c r="U280" s="162">
        <v>1964.6706833333335</v>
      </c>
      <c r="V280" s="162">
        <v>2190.6097833333329</v>
      </c>
      <c r="W280" s="162">
        <v>441.97923333333341</v>
      </c>
      <c r="X280" s="162">
        <v>670.5095333333328</v>
      </c>
      <c r="Y280" s="162">
        <v>1570.8375833333334</v>
      </c>
      <c r="Z280" s="162">
        <v>1180.1706999999994</v>
      </c>
      <c r="AA280" s="162">
        <v>1761.4244000000006</v>
      </c>
      <c r="AB280" s="162">
        <v>999.70584999999994</v>
      </c>
      <c r="AC280" s="162">
        <v>1757.0460333333331</v>
      </c>
      <c r="AD280" s="162">
        <v>677.21181666666666</v>
      </c>
      <c r="AE280" s="162">
        <v>333.81999999999994</v>
      </c>
      <c r="AF280" s="162">
        <v>0</v>
      </c>
      <c r="AG280" s="162">
        <v>1635.0767333333333</v>
      </c>
      <c r="AH280" s="162">
        <v>0</v>
      </c>
      <c r="AI280" s="162">
        <v>1909.0220500000016</v>
      </c>
      <c r="AJ280" s="162">
        <v>573.77486666666687</v>
      </c>
      <c r="AK280" s="162">
        <v>742.58261666666658</v>
      </c>
      <c r="AL280" s="162">
        <v>1713.1288333333325</v>
      </c>
      <c r="AM280" s="162">
        <v>1709.3144666666656</v>
      </c>
      <c r="AN280" s="162">
        <v>-8.1558666666666682</v>
      </c>
      <c r="AO280" s="162">
        <v>2496.8773666666675</v>
      </c>
      <c r="AP280" s="162">
        <v>783.47119999999995</v>
      </c>
      <c r="AQ280" s="162">
        <v>2020.9579999999989</v>
      </c>
      <c r="AR280" s="162">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97" bestFit="1" customWidth="1"/>
    <col min="2" max="2" width="9" style="191" customWidth="1"/>
    <col min="3" max="3" width="13.140625" style="191" bestFit="1" customWidth="1"/>
    <col min="4" max="4" width="13.5703125" style="191" bestFit="1" customWidth="1"/>
    <col min="5" max="5" width="11.7109375" style="191" customWidth="1"/>
    <col min="6" max="6" width="13" style="191" customWidth="1"/>
    <col min="7" max="7" width="11.5703125" style="191" customWidth="1"/>
    <col min="8" max="8" width="12.140625" style="191" customWidth="1"/>
    <col min="9" max="9" width="11.7109375" style="191" customWidth="1"/>
    <col min="10" max="10" width="12.28515625" style="191" customWidth="1"/>
    <col min="11" max="11" width="11.5703125" style="191" customWidth="1"/>
    <col min="12" max="12" width="12.28515625" style="191" customWidth="1"/>
    <col min="13" max="13" width="11.7109375" style="191" customWidth="1"/>
    <col min="14" max="14" width="12.5703125" style="191" customWidth="1"/>
    <col min="15" max="15" width="11.5703125" style="191" customWidth="1"/>
    <col min="16" max="16" width="15.28515625" style="191" customWidth="1"/>
    <col min="17" max="17" width="15.7109375" style="191" customWidth="1"/>
    <col min="18" max="19" width="15.28515625" style="191" customWidth="1"/>
    <col min="20" max="20" width="15.7109375" style="191" customWidth="1"/>
    <col min="21" max="22" width="13.5703125" style="191" customWidth="1"/>
    <col min="23" max="23" width="13" style="191" customWidth="1"/>
    <col min="24" max="24" width="13.42578125" style="191" customWidth="1"/>
    <col min="25" max="25" width="13" style="191" customWidth="1"/>
    <col min="26" max="26" width="13.5703125" style="191" customWidth="1"/>
    <col min="27" max="27" width="13" style="191" customWidth="1"/>
    <col min="28" max="28" width="13.42578125" style="191" customWidth="1"/>
    <col min="29" max="29" width="13" style="191" customWidth="1"/>
    <col min="30" max="30" width="13.5703125" style="191" customWidth="1"/>
    <col min="31" max="31" width="13" style="191" customWidth="1"/>
    <col min="32" max="32" width="9.85546875" style="191" customWidth="1"/>
    <col min="33" max="33" width="20.28515625" style="191" customWidth="1"/>
    <col min="34" max="34" width="10.28515625" style="191" customWidth="1"/>
    <col min="35" max="35" width="13" style="191" customWidth="1"/>
    <col min="36" max="37" width="13.5703125" style="191" customWidth="1"/>
    <col min="38" max="38" width="14.5703125" style="191" customWidth="1"/>
    <col min="39" max="39" width="12.85546875" style="191" customWidth="1"/>
    <col min="40" max="40" width="13.7109375" style="191" customWidth="1"/>
    <col min="41" max="42" width="19.5703125" style="298" customWidth="1"/>
    <col min="43" max="43" width="14.85546875" style="191" customWidth="1"/>
    <col min="44" max="44" width="14.85546875" style="299" customWidth="1"/>
    <col min="45" max="45" width="16.28515625" style="191" customWidth="1"/>
    <col min="46" max="46" width="26.42578125" style="191" customWidth="1"/>
    <col min="47" max="47" width="13.42578125" style="191" bestFit="1" customWidth="1"/>
    <col min="48" max="48" width="13" style="191" bestFit="1" customWidth="1"/>
    <col min="49" max="54" width="13" style="191" customWidth="1"/>
    <col min="55" max="55" width="19.5703125" style="191" customWidth="1"/>
    <col min="56" max="56" width="18.28515625" style="191" bestFit="1" customWidth="1"/>
    <col min="57" max="57" width="18.28515625" style="300" bestFit="1" customWidth="1"/>
    <col min="58" max="58" width="14.5703125" style="191" customWidth="1"/>
    <col min="59" max="59" width="16.140625" style="191" customWidth="1"/>
    <col min="60" max="60" width="19.140625" style="191" customWidth="1"/>
    <col min="61" max="61" width="55.42578125" style="191" bestFit="1" customWidth="1"/>
    <col min="62" max="16384" width="9.140625" style="191"/>
  </cols>
  <sheetData>
    <row r="1" spans="1:61" ht="15" customHeight="1">
      <c r="A1" s="407" t="s">
        <v>1013</v>
      </c>
      <c r="B1" s="408"/>
      <c r="C1" s="408"/>
      <c r="D1" s="408"/>
      <c r="E1" s="408"/>
      <c r="F1" s="408"/>
      <c r="G1" s="408"/>
      <c r="H1" s="408"/>
      <c r="I1" s="408"/>
      <c r="J1" s="408"/>
      <c r="K1" s="408"/>
      <c r="L1" s="408"/>
      <c r="M1" s="408"/>
      <c r="N1" s="408"/>
      <c r="O1" s="408"/>
      <c r="P1" s="408"/>
      <c r="Q1" s="408"/>
      <c r="R1" s="408"/>
      <c r="S1" s="408"/>
      <c r="T1" s="408"/>
      <c r="U1" s="408"/>
      <c r="V1" s="408"/>
      <c r="W1" s="408"/>
      <c r="X1" s="408"/>
      <c r="Y1" s="408"/>
      <c r="Z1" s="408"/>
      <c r="AA1" s="408"/>
      <c r="AB1" s="408"/>
      <c r="AC1" s="408"/>
      <c r="AD1" s="408"/>
      <c r="AE1" s="408"/>
      <c r="AF1" s="408"/>
      <c r="AG1" s="408"/>
      <c r="AH1" s="408"/>
      <c r="AI1" s="408"/>
      <c r="AJ1" s="408"/>
      <c r="AK1" s="408"/>
      <c r="AL1" s="408"/>
      <c r="AM1" s="408"/>
      <c r="AN1" s="408"/>
      <c r="AO1" s="408"/>
      <c r="AP1" s="408"/>
      <c r="AQ1" s="408"/>
      <c r="AR1" s="408"/>
      <c r="AS1" s="408"/>
      <c r="AT1" s="408"/>
      <c r="AU1" s="408"/>
      <c r="AV1" s="409"/>
      <c r="AW1" s="190"/>
      <c r="AX1" s="190"/>
      <c r="AY1" s="190"/>
      <c r="AZ1" s="190"/>
      <c r="BA1" s="190"/>
      <c r="BB1" s="190"/>
      <c r="BC1" s="190"/>
      <c r="BE1" s="191"/>
    </row>
    <row r="2" spans="1:61" ht="15" customHeight="1">
      <c r="A2" s="410"/>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411"/>
      <c r="AB2" s="411"/>
      <c r="AC2" s="411"/>
      <c r="AD2" s="411"/>
      <c r="AE2" s="411"/>
      <c r="AF2" s="411"/>
      <c r="AG2" s="411"/>
      <c r="AH2" s="411"/>
      <c r="AI2" s="411"/>
      <c r="AJ2" s="411"/>
      <c r="AK2" s="411"/>
      <c r="AL2" s="411"/>
      <c r="AM2" s="411"/>
      <c r="AN2" s="411"/>
      <c r="AO2" s="411"/>
      <c r="AP2" s="411"/>
      <c r="AQ2" s="411"/>
      <c r="AR2" s="411"/>
      <c r="AS2" s="411"/>
      <c r="AT2" s="411"/>
      <c r="AU2" s="411"/>
      <c r="AV2" s="412"/>
      <c r="AW2" s="192"/>
      <c r="AX2" s="192"/>
      <c r="AY2" s="192"/>
      <c r="AZ2" s="192"/>
      <c r="BA2" s="192"/>
      <c r="BB2" s="192"/>
      <c r="BC2" s="192"/>
      <c r="BE2" s="191"/>
    </row>
    <row r="3" spans="1:61" ht="15" customHeight="1" thickBot="1">
      <c r="A3" s="410"/>
      <c r="B3" s="411"/>
      <c r="C3" s="411"/>
      <c r="D3" s="411"/>
      <c r="E3" s="411"/>
      <c r="F3" s="411"/>
      <c r="G3" s="411"/>
      <c r="H3" s="411"/>
      <c r="I3" s="411"/>
      <c r="J3" s="411"/>
      <c r="K3" s="411"/>
      <c r="L3" s="411"/>
      <c r="M3" s="411"/>
      <c r="N3" s="411"/>
      <c r="O3" s="411"/>
      <c r="P3" s="411"/>
      <c r="Q3" s="411"/>
      <c r="R3" s="411"/>
      <c r="S3" s="411"/>
      <c r="T3" s="411"/>
      <c r="U3" s="411"/>
      <c r="V3" s="411"/>
      <c r="W3" s="411"/>
      <c r="X3" s="411"/>
      <c r="Y3" s="411"/>
      <c r="Z3" s="411"/>
      <c r="AA3" s="411"/>
      <c r="AB3" s="411"/>
      <c r="AC3" s="411"/>
      <c r="AD3" s="411"/>
      <c r="AE3" s="411"/>
      <c r="AF3" s="411"/>
      <c r="AG3" s="411"/>
      <c r="AH3" s="411"/>
      <c r="AI3" s="411"/>
      <c r="AJ3" s="411"/>
      <c r="AK3" s="411"/>
      <c r="AL3" s="411"/>
      <c r="AM3" s="411"/>
      <c r="AN3" s="411"/>
      <c r="AO3" s="411"/>
      <c r="AP3" s="411"/>
      <c r="AQ3" s="411"/>
      <c r="AR3" s="411"/>
      <c r="AS3" s="411"/>
      <c r="AT3" s="411"/>
      <c r="AU3" s="411"/>
      <c r="AV3" s="412"/>
      <c r="AW3" s="192"/>
      <c r="AX3" s="192"/>
      <c r="AY3" s="192"/>
      <c r="AZ3" s="192"/>
      <c r="BA3" s="192"/>
      <c r="BB3" s="192"/>
      <c r="BC3" s="192"/>
      <c r="BE3" s="191"/>
    </row>
    <row r="4" spans="1:61" s="201" customFormat="1" ht="69" customHeight="1" thickBot="1">
      <c r="A4" s="193" t="s">
        <v>1014</v>
      </c>
      <c r="B4" s="194" t="s">
        <v>1015</v>
      </c>
      <c r="C4" s="194" t="s">
        <v>1016</v>
      </c>
      <c r="D4" s="194" t="s">
        <v>1017</v>
      </c>
      <c r="E4" s="194" t="s">
        <v>1018</v>
      </c>
      <c r="F4" s="194" t="s">
        <v>1019</v>
      </c>
      <c r="G4" s="194" t="s">
        <v>1020</v>
      </c>
      <c r="H4" s="194" t="s">
        <v>1019</v>
      </c>
      <c r="I4" s="194" t="s">
        <v>1021</v>
      </c>
      <c r="J4" s="194" t="s">
        <v>1019</v>
      </c>
      <c r="K4" s="194" t="s">
        <v>1022</v>
      </c>
      <c r="L4" s="194" t="s">
        <v>1019</v>
      </c>
      <c r="M4" s="194" t="s">
        <v>1023</v>
      </c>
      <c r="N4" s="194" t="s">
        <v>1019</v>
      </c>
      <c r="O4" s="194" t="s">
        <v>1024</v>
      </c>
      <c r="P4" s="194" t="s">
        <v>1019</v>
      </c>
      <c r="Q4" s="194" t="s">
        <v>1025</v>
      </c>
      <c r="R4" s="194" t="s">
        <v>1019</v>
      </c>
      <c r="S4" s="194" t="s">
        <v>1026</v>
      </c>
      <c r="T4" s="194" t="s">
        <v>1019</v>
      </c>
      <c r="U4" s="194" t="s">
        <v>1027</v>
      </c>
      <c r="V4" s="194" t="s">
        <v>1019</v>
      </c>
      <c r="W4" s="194" t="s">
        <v>1028</v>
      </c>
      <c r="X4" s="194" t="s">
        <v>1019</v>
      </c>
      <c r="Y4" s="194" t="s">
        <v>1029</v>
      </c>
      <c r="Z4" s="194" t="s">
        <v>1019</v>
      </c>
      <c r="AA4" s="194" t="s">
        <v>1030</v>
      </c>
      <c r="AB4" s="194" t="s">
        <v>1019</v>
      </c>
      <c r="AC4" s="194" t="s">
        <v>1031</v>
      </c>
      <c r="AD4" s="194" t="s">
        <v>1019</v>
      </c>
      <c r="AE4" s="194" t="s">
        <v>1032</v>
      </c>
      <c r="AF4" s="194" t="s">
        <v>1019</v>
      </c>
      <c r="AG4" s="194" t="s">
        <v>1033</v>
      </c>
      <c r="AH4" s="194" t="s">
        <v>1019</v>
      </c>
      <c r="AI4" s="194" t="s">
        <v>1034</v>
      </c>
      <c r="AJ4" s="194" t="s">
        <v>1019</v>
      </c>
      <c r="AK4" s="194" t="s">
        <v>1035</v>
      </c>
      <c r="AL4" s="194" t="s">
        <v>1036</v>
      </c>
      <c r="AM4" s="194" t="s">
        <v>1019</v>
      </c>
      <c r="AN4" s="194" t="s">
        <v>1035</v>
      </c>
      <c r="AO4" s="195" t="s">
        <v>1037</v>
      </c>
      <c r="AP4" s="195" t="s">
        <v>1038</v>
      </c>
      <c r="AQ4" s="194" t="s">
        <v>1039</v>
      </c>
      <c r="AR4" s="194" t="s">
        <v>1040</v>
      </c>
      <c r="AS4" s="196" t="s">
        <v>1035</v>
      </c>
      <c r="AT4" s="196" t="s">
        <v>1041</v>
      </c>
      <c r="AU4" s="197" t="s">
        <v>1042</v>
      </c>
      <c r="AV4" s="198" t="s">
        <v>1019</v>
      </c>
      <c r="AW4" s="199" t="s">
        <v>1035</v>
      </c>
      <c r="AX4" s="200" t="s">
        <v>1043</v>
      </c>
      <c r="AY4" s="197" t="s">
        <v>1044</v>
      </c>
      <c r="AZ4" s="197" t="s">
        <v>1045</v>
      </c>
      <c r="BA4" s="197" t="s">
        <v>1046</v>
      </c>
      <c r="BB4" s="197" t="s">
        <v>1035</v>
      </c>
      <c r="BC4" s="197" t="s">
        <v>1041</v>
      </c>
      <c r="BD4" s="333" t="s">
        <v>1157</v>
      </c>
      <c r="BE4" s="334" t="s">
        <v>1155</v>
      </c>
      <c r="BF4" s="334" t="s">
        <v>1156</v>
      </c>
      <c r="BG4" s="335" t="s">
        <v>1153</v>
      </c>
      <c r="BH4" s="336" t="s">
        <v>1154</v>
      </c>
      <c r="BI4" s="337" t="s">
        <v>12</v>
      </c>
    </row>
    <row r="5" spans="1:61" s="227" customFormat="1">
      <c r="A5" s="202">
        <v>1</v>
      </c>
      <c r="B5" s="203" t="s">
        <v>1047</v>
      </c>
      <c r="C5" s="204" t="s">
        <v>1048</v>
      </c>
      <c r="D5" s="203">
        <v>100261368</v>
      </c>
      <c r="E5" s="205">
        <v>41992</v>
      </c>
      <c r="F5" s="206">
        <v>41992</v>
      </c>
      <c r="G5" s="205">
        <v>42174</v>
      </c>
      <c r="H5" s="207">
        <v>42177</v>
      </c>
      <c r="I5" s="205">
        <v>42357</v>
      </c>
      <c r="J5" s="207">
        <v>42357</v>
      </c>
      <c r="K5" s="205">
        <v>42540</v>
      </c>
      <c r="L5" s="207">
        <v>42565</v>
      </c>
      <c r="M5" s="205">
        <v>42723</v>
      </c>
      <c r="N5" s="207">
        <v>42730</v>
      </c>
      <c r="O5" s="205">
        <v>42905</v>
      </c>
      <c r="P5" s="208">
        <v>42909</v>
      </c>
      <c r="Q5" s="205">
        <v>43088</v>
      </c>
      <c r="R5" s="208">
        <v>43111</v>
      </c>
      <c r="S5" s="205">
        <v>43270</v>
      </c>
      <c r="T5" s="208">
        <v>43318</v>
      </c>
      <c r="U5" s="209">
        <v>43448</v>
      </c>
      <c r="V5" s="210">
        <v>43493</v>
      </c>
      <c r="W5" s="209">
        <v>43715</v>
      </c>
      <c r="X5" s="210">
        <v>43712</v>
      </c>
      <c r="Y5" s="211">
        <v>43895</v>
      </c>
      <c r="Z5" s="212">
        <v>43946</v>
      </c>
      <c r="AA5" s="211">
        <v>44075</v>
      </c>
      <c r="AB5" s="212">
        <v>44187</v>
      </c>
      <c r="AC5" s="211">
        <v>44256</v>
      </c>
      <c r="AD5" s="212">
        <v>44281</v>
      </c>
      <c r="AE5" s="211">
        <v>44440</v>
      </c>
      <c r="AF5" s="212">
        <v>44700</v>
      </c>
      <c r="AG5" s="211">
        <v>44621</v>
      </c>
      <c r="AH5" s="212">
        <v>44700</v>
      </c>
      <c r="AI5" s="211">
        <v>44805</v>
      </c>
      <c r="AJ5" s="212">
        <v>44828</v>
      </c>
      <c r="AK5" s="213">
        <f t="shared" ref="AK5:AK44" si="0">AJ5-AI5</f>
        <v>23</v>
      </c>
      <c r="AL5" s="214">
        <v>44985</v>
      </c>
      <c r="AM5" s="215">
        <v>44999</v>
      </c>
      <c r="AN5" s="216">
        <f t="shared" ref="AN5:AN44" si="1">AM5-AL5</f>
        <v>14</v>
      </c>
      <c r="AO5" s="217">
        <v>45209</v>
      </c>
      <c r="AP5" s="217">
        <v>45210</v>
      </c>
      <c r="AQ5" s="218">
        <v>45276</v>
      </c>
      <c r="AR5" s="218">
        <v>45278</v>
      </c>
      <c r="AS5" s="219">
        <f>AR5-AP5</f>
        <v>68</v>
      </c>
      <c r="AT5" s="220"/>
      <c r="AU5" s="221">
        <v>45352</v>
      </c>
      <c r="AV5" s="222">
        <v>45355</v>
      </c>
      <c r="AW5" s="223">
        <v>3</v>
      </c>
      <c r="AX5" s="224"/>
      <c r="AY5" s="225"/>
      <c r="AZ5" s="225"/>
      <c r="BA5" s="225"/>
      <c r="BB5" s="225"/>
      <c r="BC5" s="226"/>
      <c r="BD5" s="314"/>
      <c r="BE5" s="330"/>
      <c r="BF5" s="321"/>
      <c r="BG5" s="321"/>
      <c r="BH5" s="331"/>
      <c r="BI5" s="332"/>
    </row>
    <row r="6" spans="1:61" s="227" customFormat="1">
      <c r="A6" s="228">
        <v>2</v>
      </c>
      <c r="B6" s="229" t="s">
        <v>1049</v>
      </c>
      <c r="C6" s="230" t="s">
        <v>1048</v>
      </c>
      <c r="D6" s="229">
        <v>100261366</v>
      </c>
      <c r="E6" s="231">
        <v>41994</v>
      </c>
      <c r="F6" s="232">
        <v>41994</v>
      </c>
      <c r="G6" s="231">
        <v>42176</v>
      </c>
      <c r="H6" s="233">
        <v>42217</v>
      </c>
      <c r="I6" s="231">
        <v>42359</v>
      </c>
      <c r="J6" s="233">
        <v>42359</v>
      </c>
      <c r="K6" s="231">
        <v>42542</v>
      </c>
      <c r="L6" s="233">
        <v>42572</v>
      </c>
      <c r="M6" s="231">
        <v>42725</v>
      </c>
      <c r="N6" s="233">
        <v>42732</v>
      </c>
      <c r="O6" s="231">
        <v>42907</v>
      </c>
      <c r="P6" s="234">
        <v>42910</v>
      </c>
      <c r="Q6" s="231">
        <v>43090</v>
      </c>
      <c r="R6" s="234">
        <v>43108</v>
      </c>
      <c r="S6" s="231">
        <v>43272</v>
      </c>
      <c r="T6" s="234">
        <v>43320</v>
      </c>
      <c r="U6" s="235">
        <v>43450</v>
      </c>
      <c r="V6" s="236">
        <v>43494</v>
      </c>
      <c r="W6" s="235">
        <v>43716</v>
      </c>
      <c r="X6" s="236">
        <v>43715</v>
      </c>
      <c r="Y6" s="237">
        <v>43896</v>
      </c>
      <c r="Z6" s="238">
        <v>43951</v>
      </c>
      <c r="AA6" s="237">
        <v>44076</v>
      </c>
      <c r="AB6" s="238">
        <v>44183</v>
      </c>
      <c r="AC6" s="237">
        <v>44257</v>
      </c>
      <c r="AD6" s="238">
        <v>44282</v>
      </c>
      <c r="AE6" s="237">
        <v>44440</v>
      </c>
      <c r="AF6" s="238">
        <v>44701</v>
      </c>
      <c r="AG6" s="237">
        <v>44622</v>
      </c>
      <c r="AH6" s="238">
        <v>44701</v>
      </c>
      <c r="AI6" s="237">
        <v>44805</v>
      </c>
      <c r="AJ6" s="238">
        <v>44829</v>
      </c>
      <c r="AK6" s="239">
        <f t="shared" si="0"/>
        <v>24</v>
      </c>
      <c r="AL6" s="240">
        <v>44985</v>
      </c>
      <c r="AM6" s="240">
        <v>45002</v>
      </c>
      <c r="AN6" s="241">
        <f t="shared" si="1"/>
        <v>17</v>
      </c>
      <c r="AO6" s="242">
        <v>45211</v>
      </c>
      <c r="AP6" s="242">
        <v>45212</v>
      </c>
      <c r="AQ6" s="243">
        <v>45209</v>
      </c>
      <c r="AR6" s="243">
        <v>45230</v>
      </c>
      <c r="AS6" s="244">
        <f>AR6-AP6</f>
        <v>18</v>
      </c>
      <c r="AT6" s="245"/>
      <c r="AU6" s="246">
        <v>45353</v>
      </c>
      <c r="AV6" s="247">
        <v>45356</v>
      </c>
      <c r="AW6" s="248">
        <v>3</v>
      </c>
      <c r="AX6" s="249">
        <v>45601</v>
      </c>
      <c r="AY6" s="250">
        <v>45602</v>
      </c>
      <c r="AZ6" s="250">
        <v>45602</v>
      </c>
      <c r="BA6" s="250">
        <v>45603</v>
      </c>
      <c r="BB6" s="251">
        <v>1</v>
      </c>
      <c r="BC6" s="252" t="s">
        <v>1050</v>
      </c>
      <c r="BD6" s="313" t="s">
        <v>1114</v>
      </c>
      <c r="BE6" s="301">
        <v>45773</v>
      </c>
      <c r="BF6" s="302">
        <v>45773</v>
      </c>
      <c r="BG6" s="318">
        <f t="shared" ref="BG6:BG44" si="2">BF6-BE6</f>
        <v>0</v>
      </c>
      <c r="BH6" s="319">
        <f t="shared" ref="BH6:BH18" si="3">IF(BG6&lt;-15,100-((-1*BG6-15)/90)*100,IF(BG6&gt;15,100-((BG6-15)/90)*100,1*100))</f>
        <v>100</v>
      </c>
      <c r="BI6" s="320" t="s">
        <v>1158</v>
      </c>
    </row>
    <row r="7" spans="1:61" s="227" customFormat="1">
      <c r="A7" s="228">
        <v>3</v>
      </c>
      <c r="B7" s="229" t="s">
        <v>1051</v>
      </c>
      <c r="C7" s="230" t="s">
        <v>1048</v>
      </c>
      <c r="D7" s="229">
        <v>100261367</v>
      </c>
      <c r="E7" s="231">
        <v>41996</v>
      </c>
      <c r="F7" s="232">
        <v>41996</v>
      </c>
      <c r="G7" s="231">
        <v>42178</v>
      </c>
      <c r="H7" s="233">
        <v>42172</v>
      </c>
      <c r="I7" s="231">
        <v>42361</v>
      </c>
      <c r="J7" s="233">
        <v>42360</v>
      </c>
      <c r="K7" s="231">
        <v>42544</v>
      </c>
      <c r="L7" s="233">
        <v>42573</v>
      </c>
      <c r="M7" s="231">
        <v>42727</v>
      </c>
      <c r="N7" s="233">
        <v>42731</v>
      </c>
      <c r="O7" s="231">
        <v>42909</v>
      </c>
      <c r="P7" s="234">
        <v>42923</v>
      </c>
      <c r="Q7" s="231">
        <v>43092</v>
      </c>
      <c r="R7" s="234">
        <v>43109</v>
      </c>
      <c r="S7" s="231">
        <v>43274</v>
      </c>
      <c r="T7" s="234">
        <v>43326</v>
      </c>
      <c r="U7" s="235">
        <v>43452</v>
      </c>
      <c r="V7" s="236">
        <v>43495</v>
      </c>
      <c r="W7" s="235">
        <v>43717</v>
      </c>
      <c r="X7" s="236">
        <v>43724</v>
      </c>
      <c r="Y7" s="237">
        <v>43897</v>
      </c>
      <c r="Z7" s="238">
        <v>43952</v>
      </c>
      <c r="AA7" s="237">
        <v>44077</v>
      </c>
      <c r="AB7" s="238">
        <v>44182</v>
      </c>
      <c r="AC7" s="237">
        <v>44258</v>
      </c>
      <c r="AD7" s="238">
        <v>44283</v>
      </c>
      <c r="AE7" s="237">
        <v>44442</v>
      </c>
      <c r="AF7" s="238">
        <v>44700</v>
      </c>
      <c r="AG7" s="237">
        <v>44623</v>
      </c>
      <c r="AH7" s="238">
        <v>44700</v>
      </c>
      <c r="AI7" s="237">
        <v>44807</v>
      </c>
      <c r="AJ7" s="238">
        <v>44830</v>
      </c>
      <c r="AK7" s="239">
        <f t="shared" si="0"/>
        <v>23</v>
      </c>
      <c r="AL7" s="240">
        <v>44987</v>
      </c>
      <c r="AM7" s="240">
        <v>45006</v>
      </c>
      <c r="AN7" s="241">
        <f t="shared" si="1"/>
        <v>19</v>
      </c>
      <c r="AO7" s="242">
        <v>45213</v>
      </c>
      <c r="AP7" s="242">
        <v>45214</v>
      </c>
      <c r="AQ7" s="243">
        <v>45278</v>
      </c>
      <c r="AR7" s="243">
        <v>45276</v>
      </c>
      <c r="AS7" s="244">
        <f>AR7-AP7</f>
        <v>62</v>
      </c>
      <c r="AT7" s="245"/>
      <c r="AU7" s="246">
        <v>45355</v>
      </c>
      <c r="AV7" s="247">
        <v>45357</v>
      </c>
      <c r="AW7" s="248">
        <v>2</v>
      </c>
      <c r="AX7" s="249">
        <v>45603</v>
      </c>
      <c r="AY7" s="250">
        <v>45604</v>
      </c>
      <c r="AZ7" s="250">
        <v>45604</v>
      </c>
      <c r="BA7" s="250">
        <v>45605</v>
      </c>
      <c r="BB7" s="251">
        <v>1</v>
      </c>
      <c r="BC7" s="252" t="s">
        <v>1050</v>
      </c>
      <c r="BD7" s="313" t="s">
        <v>1115</v>
      </c>
      <c r="BE7" s="303">
        <v>45774</v>
      </c>
      <c r="BF7" s="302">
        <v>45774</v>
      </c>
      <c r="BG7" s="318">
        <f t="shared" si="2"/>
        <v>0</v>
      </c>
      <c r="BH7" s="319">
        <f t="shared" si="3"/>
        <v>100</v>
      </c>
      <c r="BI7" s="320"/>
    </row>
    <row r="8" spans="1:61" s="227" customFormat="1">
      <c r="A8" s="228">
        <v>4</v>
      </c>
      <c r="B8" s="229" t="s">
        <v>1052</v>
      </c>
      <c r="C8" s="230" t="s">
        <v>1053</v>
      </c>
      <c r="D8" s="229">
        <v>100261341</v>
      </c>
      <c r="E8" s="231">
        <v>41998</v>
      </c>
      <c r="F8" s="232">
        <v>41998</v>
      </c>
      <c r="G8" s="231">
        <v>42180</v>
      </c>
      <c r="H8" s="233">
        <v>42176</v>
      </c>
      <c r="I8" s="231">
        <v>42363</v>
      </c>
      <c r="J8" s="233">
        <v>42364</v>
      </c>
      <c r="K8" s="231">
        <v>42546</v>
      </c>
      <c r="L8" s="233">
        <v>42574</v>
      </c>
      <c r="M8" s="231">
        <v>42729</v>
      </c>
      <c r="N8" s="233">
        <v>42737</v>
      </c>
      <c r="O8" s="231">
        <v>42911</v>
      </c>
      <c r="P8" s="234">
        <v>42935</v>
      </c>
      <c r="Q8" s="231">
        <v>43094</v>
      </c>
      <c r="R8" s="234">
        <v>43112</v>
      </c>
      <c r="S8" s="231">
        <v>43276</v>
      </c>
      <c r="T8" s="234">
        <v>43336</v>
      </c>
      <c r="U8" s="235">
        <v>43454</v>
      </c>
      <c r="V8" s="236">
        <v>43498</v>
      </c>
      <c r="W8" s="235">
        <v>43718</v>
      </c>
      <c r="X8" s="236">
        <v>43725</v>
      </c>
      <c r="Y8" s="237">
        <v>43898</v>
      </c>
      <c r="Z8" s="238">
        <v>43953</v>
      </c>
      <c r="AA8" s="237">
        <v>44078</v>
      </c>
      <c r="AB8" s="238">
        <v>44190</v>
      </c>
      <c r="AC8" s="237">
        <v>44259</v>
      </c>
      <c r="AD8" s="238">
        <v>44284</v>
      </c>
      <c r="AE8" s="237">
        <v>44442</v>
      </c>
      <c r="AF8" s="238">
        <v>44702</v>
      </c>
      <c r="AG8" s="237">
        <v>44624</v>
      </c>
      <c r="AH8" s="238">
        <v>44702</v>
      </c>
      <c r="AI8" s="237">
        <v>44807</v>
      </c>
      <c r="AJ8" s="238">
        <v>44831</v>
      </c>
      <c r="AK8" s="239">
        <f t="shared" si="0"/>
        <v>24</v>
      </c>
      <c r="AL8" s="240">
        <v>44987</v>
      </c>
      <c r="AM8" s="240">
        <v>45009</v>
      </c>
      <c r="AN8" s="241">
        <f t="shared" si="1"/>
        <v>22</v>
      </c>
      <c r="AO8" s="242">
        <v>45215</v>
      </c>
      <c r="AP8" s="242">
        <v>45216</v>
      </c>
      <c r="AQ8" s="243">
        <v>45218</v>
      </c>
      <c r="AR8" s="243">
        <v>45248</v>
      </c>
      <c r="AS8" s="244">
        <f t="shared" ref="AS8:AS44" si="4">AR8-AP8</f>
        <v>32</v>
      </c>
      <c r="AT8" s="253" t="s">
        <v>1054</v>
      </c>
      <c r="AU8" s="246">
        <v>45356</v>
      </c>
      <c r="AV8" s="247">
        <v>45359</v>
      </c>
      <c r="AW8" s="248">
        <v>3</v>
      </c>
      <c r="AX8" s="249">
        <v>45605</v>
      </c>
      <c r="AY8" s="250">
        <v>45607</v>
      </c>
      <c r="AZ8" s="250">
        <v>45614</v>
      </c>
      <c r="BA8" s="250">
        <v>45615</v>
      </c>
      <c r="BB8" s="251">
        <v>8</v>
      </c>
      <c r="BC8" s="252" t="s">
        <v>1055</v>
      </c>
      <c r="BD8" s="314" t="s">
        <v>1116</v>
      </c>
      <c r="BE8" s="304">
        <v>45815</v>
      </c>
      <c r="BF8" s="305"/>
      <c r="BG8" s="321">
        <f t="shared" si="2"/>
        <v>-45815</v>
      </c>
      <c r="BH8" s="322">
        <f t="shared" si="3"/>
        <v>-50788.888888888891</v>
      </c>
      <c r="BI8" s="323" t="s">
        <v>1159</v>
      </c>
    </row>
    <row r="9" spans="1:61" s="227" customFormat="1">
      <c r="A9" s="228">
        <v>5</v>
      </c>
      <c r="B9" s="229" t="s">
        <v>1056</v>
      </c>
      <c r="C9" s="230" t="s">
        <v>1053</v>
      </c>
      <c r="D9" s="229">
        <v>100261340</v>
      </c>
      <c r="E9" s="231">
        <v>42000</v>
      </c>
      <c r="F9" s="232">
        <v>42000</v>
      </c>
      <c r="G9" s="231">
        <v>42182</v>
      </c>
      <c r="H9" s="233">
        <v>42182</v>
      </c>
      <c r="I9" s="231">
        <v>42365</v>
      </c>
      <c r="J9" s="233">
        <v>42366</v>
      </c>
      <c r="K9" s="231">
        <v>42548</v>
      </c>
      <c r="L9" s="233">
        <v>42576</v>
      </c>
      <c r="M9" s="231">
        <v>42731</v>
      </c>
      <c r="N9" s="233">
        <v>42738</v>
      </c>
      <c r="O9" s="231">
        <v>42913</v>
      </c>
      <c r="P9" s="234">
        <v>42924</v>
      </c>
      <c r="Q9" s="231">
        <v>43096</v>
      </c>
      <c r="R9" s="234">
        <v>43113</v>
      </c>
      <c r="S9" s="231">
        <v>43278</v>
      </c>
      <c r="T9" s="234">
        <v>43329</v>
      </c>
      <c r="U9" s="235">
        <v>43456</v>
      </c>
      <c r="V9" s="236">
        <v>43497</v>
      </c>
      <c r="W9" s="235">
        <v>43719</v>
      </c>
      <c r="X9" s="236">
        <v>43726</v>
      </c>
      <c r="Y9" s="237">
        <v>43899</v>
      </c>
      <c r="Z9" s="238">
        <v>43954</v>
      </c>
      <c r="AA9" s="237">
        <v>44079</v>
      </c>
      <c r="AB9" s="238">
        <v>44189</v>
      </c>
      <c r="AC9" s="237">
        <v>44260</v>
      </c>
      <c r="AD9" s="238">
        <v>44285</v>
      </c>
      <c r="AE9" s="237">
        <v>44445</v>
      </c>
      <c r="AF9" s="238">
        <v>44704</v>
      </c>
      <c r="AG9" s="237">
        <v>44625</v>
      </c>
      <c r="AH9" s="238">
        <v>44704</v>
      </c>
      <c r="AI9" s="237">
        <v>44810</v>
      </c>
      <c r="AJ9" s="238">
        <v>44832</v>
      </c>
      <c r="AK9" s="239">
        <f t="shared" si="0"/>
        <v>22</v>
      </c>
      <c r="AL9" s="240">
        <v>44990</v>
      </c>
      <c r="AM9" s="240">
        <v>45012</v>
      </c>
      <c r="AN9" s="241">
        <f t="shared" si="1"/>
        <v>22</v>
      </c>
      <c r="AO9" s="242">
        <v>45217</v>
      </c>
      <c r="AP9" s="242">
        <v>45218</v>
      </c>
      <c r="AQ9" s="243">
        <v>45217</v>
      </c>
      <c r="AR9" s="243">
        <v>45237</v>
      </c>
      <c r="AS9" s="244">
        <f t="shared" si="4"/>
        <v>19</v>
      </c>
      <c r="AT9" s="253" t="s">
        <v>1054</v>
      </c>
      <c r="AU9" s="246">
        <v>45357</v>
      </c>
      <c r="AV9" s="247">
        <v>45360</v>
      </c>
      <c r="AW9" s="248">
        <v>3</v>
      </c>
      <c r="AX9" s="249">
        <v>45608</v>
      </c>
      <c r="AY9" s="250">
        <v>45609</v>
      </c>
      <c r="AZ9" s="250">
        <v>45619</v>
      </c>
      <c r="BA9" s="250">
        <v>45620</v>
      </c>
      <c r="BB9" s="251">
        <v>11</v>
      </c>
      <c r="BC9" s="252"/>
      <c r="BD9" s="313" t="s">
        <v>1117</v>
      </c>
      <c r="BE9" s="306">
        <v>45775</v>
      </c>
      <c r="BF9" s="302">
        <v>45775</v>
      </c>
      <c r="BG9" s="318">
        <f t="shared" si="2"/>
        <v>0</v>
      </c>
      <c r="BH9" s="319">
        <f t="shared" si="3"/>
        <v>100</v>
      </c>
      <c r="BI9" s="320"/>
    </row>
    <row r="10" spans="1:61" s="227" customFormat="1">
      <c r="A10" s="228">
        <v>6</v>
      </c>
      <c r="B10" s="229" t="s">
        <v>1057</v>
      </c>
      <c r="C10" s="230" t="s">
        <v>1053</v>
      </c>
      <c r="D10" s="229">
        <v>100261337</v>
      </c>
      <c r="E10" s="231">
        <v>42005</v>
      </c>
      <c r="F10" s="232">
        <v>42005</v>
      </c>
      <c r="G10" s="231">
        <v>42186</v>
      </c>
      <c r="H10" s="233">
        <v>42195</v>
      </c>
      <c r="I10" s="231">
        <v>42370</v>
      </c>
      <c r="J10" s="233">
        <v>42367</v>
      </c>
      <c r="K10" s="231">
        <v>42552</v>
      </c>
      <c r="L10" s="233">
        <v>42577</v>
      </c>
      <c r="M10" s="231">
        <v>42736</v>
      </c>
      <c r="N10" s="233">
        <v>42754</v>
      </c>
      <c r="O10" s="231">
        <v>42917</v>
      </c>
      <c r="P10" s="234">
        <v>42926</v>
      </c>
      <c r="Q10" s="231">
        <v>43101</v>
      </c>
      <c r="R10" s="234">
        <v>43115</v>
      </c>
      <c r="S10" s="231">
        <v>43282</v>
      </c>
      <c r="T10" s="234">
        <v>43328</v>
      </c>
      <c r="U10" s="235">
        <v>43461</v>
      </c>
      <c r="V10" s="236">
        <v>43496</v>
      </c>
      <c r="W10" s="235">
        <v>43720</v>
      </c>
      <c r="X10" s="236">
        <v>43729</v>
      </c>
      <c r="Y10" s="237">
        <v>43900</v>
      </c>
      <c r="Z10" s="238">
        <v>43955</v>
      </c>
      <c r="AA10" s="237">
        <v>44080</v>
      </c>
      <c r="AB10" s="238">
        <v>44188</v>
      </c>
      <c r="AC10" s="237">
        <v>44263</v>
      </c>
      <c r="AD10" s="238">
        <v>44286</v>
      </c>
      <c r="AE10" s="237">
        <v>44445</v>
      </c>
      <c r="AF10" s="238">
        <v>44705</v>
      </c>
      <c r="AG10" s="237">
        <v>44627</v>
      </c>
      <c r="AH10" s="238">
        <v>44705</v>
      </c>
      <c r="AI10" s="237">
        <v>44810</v>
      </c>
      <c r="AJ10" s="238">
        <v>44833</v>
      </c>
      <c r="AK10" s="239">
        <f t="shared" si="0"/>
        <v>23</v>
      </c>
      <c r="AL10" s="240">
        <v>44990</v>
      </c>
      <c r="AM10" s="240">
        <v>45013</v>
      </c>
      <c r="AN10" s="241">
        <f t="shared" si="1"/>
        <v>23</v>
      </c>
      <c r="AO10" s="242">
        <v>45219</v>
      </c>
      <c r="AP10" s="242">
        <v>45220</v>
      </c>
      <c r="AQ10" s="243">
        <v>45216</v>
      </c>
      <c r="AR10" s="243">
        <v>45236</v>
      </c>
      <c r="AS10" s="244">
        <f t="shared" si="4"/>
        <v>16</v>
      </c>
      <c r="AT10" s="253" t="s">
        <v>1054</v>
      </c>
      <c r="AU10" s="246">
        <v>45358</v>
      </c>
      <c r="AV10" s="247">
        <v>45362</v>
      </c>
      <c r="AW10" s="248">
        <v>4</v>
      </c>
      <c r="AX10" s="249">
        <v>45610</v>
      </c>
      <c r="AY10" s="250">
        <v>45611</v>
      </c>
      <c r="AZ10" s="250">
        <v>45617</v>
      </c>
      <c r="BA10" s="250">
        <v>45618</v>
      </c>
      <c r="BB10" s="251">
        <v>7</v>
      </c>
      <c r="BC10" s="252" t="s">
        <v>1050</v>
      </c>
      <c r="BD10" s="314" t="s">
        <v>1118</v>
      </c>
      <c r="BE10" s="304">
        <v>45816</v>
      </c>
      <c r="BF10" s="305"/>
      <c r="BG10" s="321">
        <f t="shared" si="2"/>
        <v>-45816</v>
      </c>
      <c r="BH10" s="322">
        <f t="shared" si="3"/>
        <v>-50790</v>
      </c>
      <c r="BI10" s="323" t="s">
        <v>1160</v>
      </c>
    </row>
    <row r="11" spans="1:61" s="227" customFormat="1">
      <c r="A11" s="228">
        <v>7</v>
      </c>
      <c r="B11" s="229" t="s">
        <v>1058</v>
      </c>
      <c r="C11" s="230" t="s">
        <v>1048</v>
      </c>
      <c r="D11" s="229">
        <v>100261333</v>
      </c>
      <c r="E11" s="231">
        <v>42008</v>
      </c>
      <c r="F11" s="232">
        <v>42008</v>
      </c>
      <c r="G11" s="231">
        <v>42189</v>
      </c>
      <c r="H11" s="233">
        <v>42217</v>
      </c>
      <c r="I11" s="231">
        <v>42373</v>
      </c>
      <c r="J11" s="233">
        <v>42373</v>
      </c>
      <c r="K11" s="231">
        <v>42555</v>
      </c>
      <c r="L11" s="233">
        <v>42581</v>
      </c>
      <c r="M11" s="231">
        <v>42739</v>
      </c>
      <c r="N11" s="233">
        <v>42758</v>
      </c>
      <c r="O11" s="231">
        <v>42920</v>
      </c>
      <c r="P11" s="234">
        <v>42949</v>
      </c>
      <c r="Q11" s="231">
        <v>43104</v>
      </c>
      <c r="R11" s="234">
        <v>43116</v>
      </c>
      <c r="S11" s="231">
        <v>43285</v>
      </c>
      <c r="T11" s="234">
        <v>43330</v>
      </c>
      <c r="U11" s="235">
        <v>43464</v>
      </c>
      <c r="V11" s="236">
        <v>43500</v>
      </c>
      <c r="W11" s="235">
        <v>43721</v>
      </c>
      <c r="X11" s="236">
        <v>43731</v>
      </c>
      <c r="Y11" s="237">
        <v>43901</v>
      </c>
      <c r="Z11" s="238">
        <v>43964</v>
      </c>
      <c r="AA11" s="237">
        <v>44081</v>
      </c>
      <c r="AB11" s="238">
        <v>44191</v>
      </c>
      <c r="AC11" s="237">
        <v>44264</v>
      </c>
      <c r="AD11" s="238">
        <v>44287</v>
      </c>
      <c r="AE11" s="237">
        <v>44447</v>
      </c>
      <c r="AF11" s="238">
        <v>44714</v>
      </c>
      <c r="AG11" s="237">
        <v>44628</v>
      </c>
      <c r="AH11" s="238">
        <v>44714</v>
      </c>
      <c r="AI11" s="237">
        <v>44812</v>
      </c>
      <c r="AJ11" s="238">
        <v>44835</v>
      </c>
      <c r="AK11" s="239">
        <f t="shared" si="0"/>
        <v>23</v>
      </c>
      <c r="AL11" s="240">
        <v>44992</v>
      </c>
      <c r="AM11" s="240">
        <v>45015</v>
      </c>
      <c r="AN11" s="241">
        <f t="shared" si="1"/>
        <v>23</v>
      </c>
      <c r="AO11" s="242">
        <v>45221</v>
      </c>
      <c r="AP11" s="242">
        <v>45222</v>
      </c>
      <c r="AQ11" s="243">
        <v>45246</v>
      </c>
      <c r="AR11" s="243">
        <v>45247</v>
      </c>
      <c r="AS11" s="244">
        <f t="shared" si="4"/>
        <v>25</v>
      </c>
      <c r="AT11" s="245"/>
      <c r="AU11" s="246">
        <v>45359</v>
      </c>
      <c r="AV11" s="247">
        <v>45363</v>
      </c>
      <c r="AW11" s="248">
        <v>4</v>
      </c>
      <c r="AX11" s="249">
        <v>45612</v>
      </c>
      <c r="AY11" s="250">
        <v>45614</v>
      </c>
      <c r="AZ11" s="250">
        <v>45606</v>
      </c>
      <c r="BA11" s="250">
        <v>45607</v>
      </c>
      <c r="BB11" s="251">
        <v>-7</v>
      </c>
      <c r="BC11" s="252" t="s">
        <v>1050</v>
      </c>
      <c r="BD11" s="313" t="s">
        <v>1119</v>
      </c>
      <c r="BE11" s="307">
        <v>45776</v>
      </c>
      <c r="BF11" s="302">
        <v>45776</v>
      </c>
      <c r="BG11" s="318">
        <f t="shared" si="2"/>
        <v>0</v>
      </c>
      <c r="BH11" s="319">
        <f t="shared" si="3"/>
        <v>100</v>
      </c>
      <c r="BI11" s="320"/>
    </row>
    <row r="12" spans="1:61" s="227" customFormat="1">
      <c r="A12" s="228">
        <v>8</v>
      </c>
      <c r="B12" s="229" t="s">
        <v>1059</v>
      </c>
      <c r="C12" s="230" t="s">
        <v>1048</v>
      </c>
      <c r="D12" s="229">
        <v>100261334</v>
      </c>
      <c r="E12" s="254">
        <v>42011</v>
      </c>
      <c r="F12" s="255">
        <v>42011</v>
      </c>
      <c r="G12" s="231">
        <v>42192</v>
      </c>
      <c r="H12" s="233">
        <v>42205</v>
      </c>
      <c r="I12" s="254">
        <v>42376</v>
      </c>
      <c r="J12" s="233">
        <v>42375</v>
      </c>
      <c r="K12" s="231">
        <v>42558</v>
      </c>
      <c r="L12" s="233">
        <v>42583</v>
      </c>
      <c r="M12" s="254">
        <v>42742</v>
      </c>
      <c r="N12" s="233">
        <v>42759</v>
      </c>
      <c r="O12" s="231">
        <v>42923</v>
      </c>
      <c r="P12" s="234">
        <v>42951</v>
      </c>
      <c r="Q12" s="254">
        <v>43107</v>
      </c>
      <c r="R12" s="234">
        <v>43117</v>
      </c>
      <c r="S12" s="231">
        <v>43288</v>
      </c>
      <c r="T12" s="234">
        <v>43332</v>
      </c>
      <c r="U12" s="235">
        <v>43467</v>
      </c>
      <c r="V12" s="236">
        <v>43502</v>
      </c>
      <c r="W12" s="235">
        <v>43722</v>
      </c>
      <c r="X12" s="236">
        <v>43733</v>
      </c>
      <c r="Y12" s="237">
        <v>43902</v>
      </c>
      <c r="Z12" s="238">
        <v>43965</v>
      </c>
      <c r="AA12" s="237">
        <v>44082</v>
      </c>
      <c r="AB12" s="238">
        <v>44192</v>
      </c>
      <c r="AC12" s="237">
        <v>44265</v>
      </c>
      <c r="AD12" s="238">
        <v>44288</v>
      </c>
      <c r="AE12" s="237">
        <v>44447</v>
      </c>
      <c r="AF12" s="238">
        <v>44715</v>
      </c>
      <c r="AG12" s="237">
        <v>44629</v>
      </c>
      <c r="AH12" s="238">
        <v>44715</v>
      </c>
      <c r="AI12" s="237">
        <v>44812</v>
      </c>
      <c r="AJ12" s="238">
        <v>44836</v>
      </c>
      <c r="AK12" s="239">
        <f t="shared" si="0"/>
        <v>24</v>
      </c>
      <c r="AL12" s="240">
        <v>44992</v>
      </c>
      <c r="AM12" s="240">
        <v>45016</v>
      </c>
      <c r="AN12" s="241">
        <f t="shared" si="1"/>
        <v>24</v>
      </c>
      <c r="AO12" s="242">
        <v>45223</v>
      </c>
      <c r="AP12" s="242">
        <v>45224</v>
      </c>
      <c r="AQ12" s="243">
        <v>45226</v>
      </c>
      <c r="AR12" s="243">
        <v>45238</v>
      </c>
      <c r="AS12" s="244">
        <f t="shared" si="4"/>
        <v>14</v>
      </c>
      <c r="AT12" s="253" t="s">
        <v>1054</v>
      </c>
      <c r="AU12" s="246">
        <v>45360</v>
      </c>
      <c r="AV12" s="247">
        <v>45366</v>
      </c>
      <c r="AW12" s="248">
        <v>6</v>
      </c>
      <c r="AX12" s="249">
        <v>45615</v>
      </c>
      <c r="AY12" s="250">
        <v>45616</v>
      </c>
      <c r="AZ12" s="250">
        <v>45608</v>
      </c>
      <c r="BA12" s="250">
        <v>45610</v>
      </c>
      <c r="BB12" s="251">
        <v>-6</v>
      </c>
      <c r="BC12" s="252" t="s">
        <v>1050</v>
      </c>
      <c r="BD12" s="313" t="s">
        <v>1120</v>
      </c>
      <c r="BE12" s="308">
        <v>45777</v>
      </c>
      <c r="BF12" s="302">
        <v>45777</v>
      </c>
      <c r="BG12" s="318">
        <f t="shared" si="2"/>
        <v>0</v>
      </c>
      <c r="BH12" s="319">
        <f t="shared" si="3"/>
        <v>100</v>
      </c>
      <c r="BI12" s="320"/>
    </row>
    <row r="13" spans="1:61" s="227" customFormat="1">
      <c r="A13" s="228">
        <v>9</v>
      </c>
      <c r="B13" s="229" t="s">
        <v>1060</v>
      </c>
      <c r="C13" s="230" t="s">
        <v>1048</v>
      </c>
      <c r="D13" s="229">
        <v>100261372</v>
      </c>
      <c r="E13" s="254">
        <v>42012</v>
      </c>
      <c r="F13" s="255">
        <v>42012</v>
      </c>
      <c r="G13" s="231">
        <v>42193</v>
      </c>
      <c r="H13" s="233">
        <v>42220</v>
      </c>
      <c r="I13" s="254">
        <v>42377</v>
      </c>
      <c r="J13" s="233">
        <v>42377</v>
      </c>
      <c r="K13" s="231">
        <v>42559</v>
      </c>
      <c r="L13" s="233">
        <v>42585</v>
      </c>
      <c r="M13" s="254">
        <v>42743</v>
      </c>
      <c r="N13" s="233">
        <v>42756</v>
      </c>
      <c r="O13" s="231">
        <v>42924</v>
      </c>
      <c r="P13" s="234">
        <v>42953</v>
      </c>
      <c r="Q13" s="254">
        <v>43108</v>
      </c>
      <c r="R13" s="234">
        <v>43118</v>
      </c>
      <c r="S13" s="231">
        <v>43289</v>
      </c>
      <c r="T13" s="234">
        <v>43333</v>
      </c>
      <c r="U13" s="235">
        <v>43468</v>
      </c>
      <c r="V13" s="236">
        <v>43503</v>
      </c>
      <c r="W13" s="235">
        <v>43723</v>
      </c>
      <c r="X13" s="236">
        <v>43734</v>
      </c>
      <c r="Y13" s="237">
        <v>43903</v>
      </c>
      <c r="Z13" s="238">
        <v>43957</v>
      </c>
      <c r="AA13" s="237">
        <v>44083</v>
      </c>
      <c r="AB13" s="238">
        <v>44193</v>
      </c>
      <c r="AC13" s="237">
        <v>44266</v>
      </c>
      <c r="AD13" s="238">
        <v>44289</v>
      </c>
      <c r="AE13" s="237">
        <v>44449</v>
      </c>
      <c r="AF13" s="238">
        <v>44718</v>
      </c>
      <c r="AG13" s="237">
        <v>44630</v>
      </c>
      <c r="AH13" s="238">
        <v>44718</v>
      </c>
      <c r="AI13" s="237">
        <v>44814</v>
      </c>
      <c r="AJ13" s="238">
        <v>44837</v>
      </c>
      <c r="AK13" s="239">
        <f t="shared" si="0"/>
        <v>23</v>
      </c>
      <c r="AL13" s="256">
        <v>44994</v>
      </c>
      <c r="AM13" s="256">
        <v>45020</v>
      </c>
      <c r="AN13" s="241">
        <f t="shared" si="1"/>
        <v>26</v>
      </c>
      <c r="AO13" s="242">
        <v>45225</v>
      </c>
      <c r="AP13" s="242">
        <v>45226</v>
      </c>
      <c r="AQ13" s="243">
        <v>45250</v>
      </c>
      <c r="AR13" s="243">
        <v>45251</v>
      </c>
      <c r="AS13" s="244">
        <f t="shared" si="4"/>
        <v>25</v>
      </c>
      <c r="AT13" s="245"/>
      <c r="AU13" s="246">
        <v>45362</v>
      </c>
      <c r="AV13" s="247">
        <v>45370</v>
      </c>
      <c r="AW13" s="248">
        <v>8</v>
      </c>
      <c r="AX13" s="249">
        <v>45617</v>
      </c>
      <c r="AY13" s="250">
        <v>45618</v>
      </c>
      <c r="AZ13" s="250">
        <v>45621</v>
      </c>
      <c r="BA13" s="250">
        <v>45622</v>
      </c>
      <c r="BB13" s="251">
        <v>4</v>
      </c>
      <c r="BC13" s="252" t="s">
        <v>1050</v>
      </c>
      <c r="BD13" s="313" t="s">
        <v>1121</v>
      </c>
      <c r="BE13" s="308">
        <v>45778</v>
      </c>
      <c r="BF13" s="302">
        <v>45778</v>
      </c>
      <c r="BG13" s="318">
        <f t="shared" si="2"/>
        <v>0</v>
      </c>
      <c r="BH13" s="319">
        <f t="shared" si="3"/>
        <v>100</v>
      </c>
      <c r="BI13" s="320"/>
    </row>
    <row r="14" spans="1:61" s="227" customFormat="1">
      <c r="A14" s="228">
        <v>10</v>
      </c>
      <c r="B14" s="229" t="s">
        <v>1061</v>
      </c>
      <c r="C14" s="230" t="s">
        <v>1048</v>
      </c>
      <c r="D14" s="229">
        <v>100261371</v>
      </c>
      <c r="E14" s="254">
        <v>42014</v>
      </c>
      <c r="F14" s="255">
        <v>42014</v>
      </c>
      <c r="G14" s="231">
        <v>42195</v>
      </c>
      <c r="H14" s="233">
        <v>42218</v>
      </c>
      <c r="I14" s="254">
        <v>42379</v>
      </c>
      <c r="J14" s="233">
        <v>42379</v>
      </c>
      <c r="K14" s="231">
        <v>42561</v>
      </c>
      <c r="L14" s="233">
        <v>42587</v>
      </c>
      <c r="M14" s="254">
        <v>42745</v>
      </c>
      <c r="N14" s="233">
        <v>42765</v>
      </c>
      <c r="O14" s="231">
        <v>42926</v>
      </c>
      <c r="P14" s="234">
        <v>42954</v>
      </c>
      <c r="Q14" s="254">
        <v>43110</v>
      </c>
      <c r="R14" s="234">
        <v>43119</v>
      </c>
      <c r="S14" s="231">
        <v>43291</v>
      </c>
      <c r="T14" s="234">
        <v>43339</v>
      </c>
      <c r="U14" s="235">
        <v>43470</v>
      </c>
      <c r="V14" s="236">
        <v>43504</v>
      </c>
      <c r="W14" s="235">
        <v>43724</v>
      </c>
      <c r="X14" s="236">
        <v>43735</v>
      </c>
      <c r="Y14" s="237">
        <v>43904</v>
      </c>
      <c r="Z14" s="238">
        <v>43965</v>
      </c>
      <c r="AA14" s="237">
        <v>44084</v>
      </c>
      <c r="AB14" s="238">
        <v>44197</v>
      </c>
      <c r="AC14" s="237">
        <v>44267</v>
      </c>
      <c r="AD14" s="238">
        <v>44290</v>
      </c>
      <c r="AE14" s="237">
        <v>44449</v>
      </c>
      <c r="AF14" s="238">
        <v>44717</v>
      </c>
      <c r="AG14" s="237">
        <v>44631</v>
      </c>
      <c r="AH14" s="238">
        <v>44717</v>
      </c>
      <c r="AI14" s="237">
        <v>44814</v>
      </c>
      <c r="AJ14" s="238">
        <v>44839</v>
      </c>
      <c r="AK14" s="239">
        <f t="shared" si="0"/>
        <v>25</v>
      </c>
      <c r="AL14" s="256">
        <v>44994</v>
      </c>
      <c r="AM14" s="256">
        <v>45019</v>
      </c>
      <c r="AN14" s="241">
        <f t="shared" si="1"/>
        <v>25</v>
      </c>
      <c r="AO14" s="242">
        <v>45227</v>
      </c>
      <c r="AP14" s="242">
        <v>45228</v>
      </c>
      <c r="AQ14" s="243">
        <v>45252</v>
      </c>
      <c r="AR14" s="243">
        <v>45253</v>
      </c>
      <c r="AS14" s="244">
        <f t="shared" si="4"/>
        <v>25</v>
      </c>
      <c r="AT14" s="245"/>
      <c r="AU14" s="246">
        <v>45363</v>
      </c>
      <c r="AV14" s="247">
        <v>45371</v>
      </c>
      <c r="AW14" s="248">
        <v>8</v>
      </c>
      <c r="AX14" s="249">
        <v>45619</v>
      </c>
      <c r="AY14" s="250">
        <v>45621</v>
      </c>
      <c r="AZ14" s="250">
        <v>45624</v>
      </c>
      <c r="BA14" s="250">
        <v>45625</v>
      </c>
      <c r="BB14" s="251">
        <v>4</v>
      </c>
      <c r="BC14" s="252" t="s">
        <v>1050</v>
      </c>
      <c r="BD14" s="313" t="s">
        <v>1122</v>
      </c>
      <c r="BE14" s="308">
        <v>45779</v>
      </c>
      <c r="BF14" s="302">
        <v>45780</v>
      </c>
      <c r="BG14" s="318">
        <f t="shared" si="2"/>
        <v>1</v>
      </c>
      <c r="BH14" s="319">
        <f t="shared" si="3"/>
        <v>100</v>
      </c>
      <c r="BI14" s="320" t="s">
        <v>1161</v>
      </c>
    </row>
    <row r="15" spans="1:61" s="227" customFormat="1">
      <c r="A15" s="228">
        <v>11</v>
      </c>
      <c r="B15" s="229" t="s">
        <v>1062</v>
      </c>
      <c r="C15" s="230" t="s">
        <v>1053</v>
      </c>
      <c r="D15" s="229">
        <v>100261338</v>
      </c>
      <c r="E15" s="254">
        <v>42017</v>
      </c>
      <c r="F15" s="255">
        <v>42017</v>
      </c>
      <c r="G15" s="231">
        <v>42198</v>
      </c>
      <c r="H15" s="233">
        <v>42221</v>
      </c>
      <c r="I15" s="254">
        <v>42382</v>
      </c>
      <c r="J15" s="233">
        <v>42382</v>
      </c>
      <c r="K15" s="231">
        <v>42564</v>
      </c>
      <c r="L15" s="233">
        <v>42594</v>
      </c>
      <c r="M15" s="254">
        <v>42748</v>
      </c>
      <c r="N15" s="233">
        <v>42760</v>
      </c>
      <c r="O15" s="231">
        <v>42929</v>
      </c>
      <c r="P15" s="234">
        <v>42955</v>
      </c>
      <c r="Q15" s="254">
        <v>43113</v>
      </c>
      <c r="R15" s="234">
        <v>43120</v>
      </c>
      <c r="S15" s="231">
        <v>43294</v>
      </c>
      <c r="T15" s="234">
        <v>43334</v>
      </c>
      <c r="U15" s="235">
        <v>43473</v>
      </c>
      <c r="V15" s="236">
        <v>43505</v>
      </c>
      <c r="W15" s="235">
        <v>43725</v>
      </c>
      <c r="X15" s="236">
        <v>43736</v>
      </c>
      <c r="Y15" s="237">
        <v>43905</v>
      </c>
      <c r="Z15" s="238">
        <v>43966</v>
      </c>
      <c r="AA15" s="237">
        <v>44085</v>
      </c>
      <c r="AB15" s="238">
        <v>44194</v>
      </c>
      <c r="AC15" s="237">
        <v>44270</v>
      </c>
      <c r="AD15" s="238">
        <v>44292</v>
      </c>
      <c r="AE15" s="237">
        <v>44452</v>
      </c>
      <c r="AF15" s="238">
        <v>44721</v>
      </c>
      <c r="AG15" s="237">
        <v>44632</v>
      </c>
      <c r="AH15" s="238">
        <v>44721</v>
      </c>
      <c r="AI15" s="237">
        <v>44817</v>
      </c>
      <c r="AJ15" s="238">
        <v>44840</v>
      </c>
      <c r="AK15" s="239">
        <f t="shared" si="0"/>
        <v>23</v>
      </c>
      <c r="AL15" s="256">
        <v>44997</v>
      </c>
      <c r="AM15" s="256">
        <v>45021</v>
      </c>
      <c r="AN15" s="241">
        <f t="shared" si="1"/>
        <v>24</v>
      </c>
      <c r="AO15" s="242">
        <v>45229</v>
      </c>
      <c r="AP15" s="242">
        <v>45230</v>
      </c>
      <c r="AQ15" s="243">
        <v>45254</v>
      </c>
      <c r="AR15" s="243">
        <v>45255</v>
      </c>
      <c r="AS15" s="244">
        <f t="shared" si="4"/>
        <v>25</v>
      </c>
      <c r="AT15" s="245"/>
      <c r="AU15" s="246">
        <v>45364</v>
      </c>
      <c r="AV15" s="247">
        <v>45372</v>
      </c>
      <c r="AW15" s="248">
        <v>8</v>
      </c>
      <c r="AX15" s="249">
        <v>45622</v>
      </c>
      <c r="AY15" s="250">
        <v>45623</v>
      </c>
      <c r="AZ15" s="250">
        <v>45626</v>
      </c>
      <c r="BA15" s="250">
        <v>45627</v>
      </c>
      <c r="BB15" s="251">
        <v>4</v>
      </c>
      <c r="BC15" s="252" t="s">
        <v>1050</v>
      </c>
      <c r="BD15" s="313" t="s">
        <v>1123</v>
      </c>
      <c r="BE15" s="308">
        <v>45780</v>
      </c>
      <c r="BF15" s="302">
        <v>45781</v>
      </c>
      <c r="BG15" s="318">
        <f t="shared" si="2"/>
        <v>1</v>
      </c>
      <c r="BH15" s="319">
        <f t="shared" si="3"/>
        <v>100</v>
      </c>
      <c r="BI15" s="320"/>
    </row>
    <row r="16" spans="1:61" s="227" customFormat="1">
      <c r="A16" s="228">
        <v>12</v>
      </c>
      <c r="B16" s="257" t="s">
        <v>1063</v>
      </c>
      <c r="C16" s="230" t="s">
        <v>1048</v>
      </c>
      <c r="D16" s="257">
        <v>100261403</v>
      </c>
      <c r="E16" s="254">
        <v>42024</v>
      </c>
      <c r="F16" s="255">
        <v>42024</v>
      </c>
      <c r="G16" s="231">
        <v>42205</v>
      </c>
      <c r="H16" s="233">
        <v>42205</v>
      </c>
      <c r="I16" s="254">
        <v>42389</v>
      </c>
      <c r="J16" s="233">
        <v>42386</v>
      </c>
      <c r="K16" s="231">
        <v>42571</v>
      </c>
      <c r="L16" s="233">
        <v>42595</v>
      </c>
      <c r="M16" s="254">
        <v>42755</v>
      </c>
      <c r="N16" s="233">
        <v>42768</v>
      </c>
      <c r="O16" s="231">
        <v>42936</v>
      </c>
      <c r="P16" s="234">
        <v>42956</v>
      </c>
      <c r="Q16" s="254">
        <v>43120</v>
      </c>
      <c r="R16" s="234">
        <v>43125</v>
      </c>
      <c r="S16" s="231">
        <v>43301</v>
      </c>
      <c r="T16" s="234">
        <v>43344</v>
      </c>
      <c r="U16" s="235">
        <v>43480</v>
      </c>
      <c r="V16" s="236">
        <v>43507</v>
      </c>
      <c r="W16" s="235">
        <v>43726</v>
      </c>
      <c r="X16" s="236">
        <v>43737</v>
      </c>
      <c r="Y16" s="237">
        <v>43906</v>
      </c>
      <c r="Z16" s="238">
        <v>43966</v>
      </c>
      <c r="AA16" s="237">
        <v>44086</v>
      </c>
      <c r="AB16" s="238">
        <v>44195</v>
      </c>
      <c r="AC16" s="237">
        <v>44271</v>
      </c>
      <c r="AD16" s="238">
        <v>44294</v>
      </c>
      <c r="AE16" s="237">
        <v>44452</v>
      </c>
      <c r="AF16" s="238">
        <v>44722</v>
      </c>
      <c r="AG16" s="237">
        <v>44634</v>
      </c>
      <c r="AH16" s="238">
        <v>44722</v>
      </c>
      <c r="AI16" s="237">
        <v>44817</v>
      </c>
      <c r="AJ16" s="238">
        <v>44842</v>
      </c>
      <c r="AK16" s="239">
        <f t="shared" si="0"/>
        <v>25</v>
      </c>
      <c r="AL16" s="256">
        <v>44997</v>
      </c>
      <c r="AM16" s="256">
        <v>45022</v>
      </c>
      <c r="AN16" s="241">
        <f t="shared" si="1"/>
        <v>25</v>
      </c>
      <c r="AO16" s="242">
        <v>45231</v>
      </c>
      <c r="AP16" s="242">
        <v>45232</v>
      </c>
      <c r="AQ16" s="243">
        <v>45255</v>
      </c>
      <c r="AR16" s="243">
        <v>45254</v>
      </c>
      <c r="AS16" s="244">
        <f t="shared" si="4"/>
        <v>22</v>
      </c>
      <c r="AT16" s="245"/>
      <c r="AU16" s="246">
        <v>45365</v>
      </c>
      <c r="AV16" s="247">
        <v>45374</v>
      </c>
      <c r="AW16" s="248">
        <v>9</v>
      </c>
      <c r="AX16" s="249">
        <v>45624</v>
      </c>
      <c r="AY16" s="250">
        <v>45625</v>
      </c>
      <c r="AZ16" s="250">
        <v>45628</v>
      </c>
      <c r="BA16" s="250">
        <v>45629</v>
      </c>
      <c r="BB16" s="251">
        <v>4</v>
      </c>
      <c r="BC16" s="252" t="s">
        <v>1050</v>
      </c>
      <c r="BD16" s="313" t="s">
        <v>1124</v>
      </c>
      <c r="BE16" s="308">
        <v>45781</v>
      </c>
      <c r="BF16" s="302">
        <v>45783</v>
      </c>
      <c r="BG16" s="318">
        <f t="shared" si="2"/>
        <v>2</v>
      </c>
      <c r="BH16" s="319">
        <f t="shared" si="3"/>
        <v>100</v>
      </c>
      <c r="BI16" s="320" t="s">
        <v>1162</v>
      </c>
    </row>
    <row r="17" spans="1:61" s="227" customFormat="1">
      <c r="A17" s="228">
        <v>13</v>
      </c>
      <c r="B17" s="229" t="s">
        <v>1064</v>
      </c>
      <c r="C17" s="230" t="s">
        <v>1048</v>
      </c>
      <c r="D17" s="229">
        <v>100261374</v>
      </c>
      <c r="E17" s="254">
        <v>42026</v>
      </c>
      <c r="F17" s="255">
        <v>42026</v>
      </c>
      <c r="G17" s="231">
        <v>42207</v>
      </c>
      <c r="H17" s="233">
        <v>42203</v>
      </c>
      <c r="I17" s="254">
        <v>42391</v>
      </c>
      <c r="J17" s="233">
        <v>42390</v>
      </c>
      <c r="K17" s="231">
        <v>42573</v>
      </c>
      <c r="L17" s="233">
        <v>42596</v>
      </c>
      <c r="M17" s="254">
        <v>42757</v>
      </c>
      <c r="N17" s="233">
        <v>42769</v>
      </c>
      <c r="O17" s="231">
        <v>42938</v>
      </c>
      <c r="P17" s="234">
        <v>42957</v>
      </c>
      <c r="Q17" s="254">
        <v>43122</v>
      </c>
      <c r="R17" s="234">
        <v>43127</v>
      </c>
      <c r="S17" s="231">
        <v>43303</v>
      </c>
      <c r="T17" s="234">
        <v>43346</v>
      </c>
      <c r="U17" s="235">
        <v>43482</v>
      </c>
      <c r="V17" s="236">
        <v>43508</v>
      </c>
      <c r="W17" s="235">
        <v>43727</v>
      </c>
      <c r="X17" s="236">
        <v>43738</v>
      </c>
      <c r="Y17" s="237">
        <v>43907</v>
      </c>
      <c r="Z17" s="238">
        <v>43967</v>
      </c>
      <c r="AA17" s="237">
        <v>44087</v>
      </c>
      <c r="AB17" s="238">
        <v>44117</v>
      </c>
      <c r="AC17" s="237">
        <v>44272</v>
      </c>
      <c r="AD17" s="238">
        <v>44307</v>
      </c>
      <c r="AE17" s="237">
        <v>44454</v>
      </c>
      <c r="AF17" s="238">
        <v>44723</v>
      </c>
      <c r="AG17" s="237">
        <v>44635</v>
      </c>
      <c r="AH17" s="238">
        <v>44723</v>
      </c>
      <c r="AI17" s="237">
        <v>44819</v>
      </c>
      <c r="AJ17" s="238">
        <v>44843</v>
      </c>
      <c r="AK17" s="239">
        <f t="shared" si="0"/>
        <v>24</v>
      </c>
      <c r="AL17" s="256">
        <v>44999</v>
      </c>
      <c r="AM17" s="256">
        <v>45023</v>
      </c>
      <c r="AN17" s="241">
        <f t="shared" si="1"/>
        <v>24</v>
      </c>
      <c r="AO17" s="242">
        <v>45233</v>
      </c>
      <c r="AP17" s="242">
        <v>45234</v>
      </c>
      <c r="AQ17" s="243">
        <v>45257</v>
      </c>
      <c r="AR17" s="243">
        <v>45258</v>
      </c>
      <c r="AS17" s="244">
        <f t="shared" si="4"/>
        <v>24</v>
      </c>
      <c r="AT17" s="245"/>
      <c r="AU17" s="246">
        <v>45366</v>
      </c>
      <c r="AV17" s="247">
        <v>45373</v>
      </c>
      <c r="AW17" s="248">
        <v>7</v>
      </c>
      <c r="AX17" s="249">
        <v>45626</v>
      </c>
      <c r="AY17" s="250">
        <v>45628</v>
      </c>
      <c r="AZ17" s="250">
        <v>45632</v>
      </c>
      <c r="BA17" s="250">
        <v>45633</v>
      </c>
      <c r="BB17" s="251">
        <v>5</v>
      </c>
      <c r="BC17" s="252" t="s">
        <v>1065</v>
      </c>
      <c r="BD17" s="317" t="s">
        <v>1125</v>
      </c>
      <c r="BE17" s="309">
        <v>45782</v>
      </c>
      <c r="BF17" s="302">
        <v>45784</v>
      </c>
      <c r="BG17" s="318">
        <f t="shared" si="2"/>
        <v>2</v>
      </c>
      <c r="BH17" s="319">
        <f t="shared" si="3"/>
        <v>100</v>
      </c>
      <c r="BI17" s="324"/>
    </row>
    <row r="18" spans="1:61" s="227" customFormat="1">
      <c r="A18" s="228">
        <v>14</v>
      </c>
      <c r="B18" s="229" t="s">
        <v>1066</v>
      </c>
      <c r="C18" s="230" t="s">
        <v>1053</v>
      </c>
      <c r="D18" s="229">
        <v>100261336</v>
      </c>
      <c r="E18" s="254">
        <v>42032</v>
      </c>
      <c r="F18" s="255">
        <v>42032</v>
      </c>
      <c r="G18" s="231">
        <v>42213</v>
      </c>
      <c r="H18" s="233">
        <v>42233</v>
      </c>
      <c r="I18" s="254">
        <v>42397</v>
      </c>
      <c r="J18" s="233">
        <v>42398</v>
      </c>
      <c r="K18" s="231">
        <v>42579</v>
      </c>
      <c r="L18" s="233">
        <v>42598</v>
      </c>
      <c r="M18" s="254">
        <v>42763</v>
      </c>
      <c r="N18" s="233">
        <v>42763</v>
      </c>
      <c r="O18" s="231">
        <v>42944</v>
      </c>
      <c r="P18" s="234">
        <v>42971</v>
      </c>
      <c r="Q18" s="254">
        <v>43128</v>
      </c>
      <c r="R18" s="234">
        <v>43129</v>
      </c>
      <c r="S18" s="231">
        <v>43309</v>
      </c>
      <c r="T18" s="234">
        <v>43409</v>
      </c>
      <c r="U18" s="235">
        <v>43488</v>
      </c>
      <c r="V18" s="236">
        <v>43509</v>
      </c>
      <c r="W18" s="235">
        <v>43728</v>
      </c>
      <c r="X18" s="236">
        <v>43740</v>
      </c>
      <c r="Y18" s="237">
        <v>43908</v>
      </c>
      <c r="Z18" s="238">
        <v>43956</v>
      </c>
      <c r="AA18" s="237">
        <v>44088</v>
      </c>
      <c r="AB18" s="238">
        <v>44118</v>
      </c>
      <c r="AC18" s="237">
        <v>44273</v>
      </c>
      <c r="AD18" s="238">
        <v>44295</v>
      </c>
      <c r="AE18" s="237">
        <v>44454</v>
      </c>
      <c r="AF18" s="238">
        <v>44724</v>
      </c>
      <c r="AG18" s="237">
        <v>44636</v>
      </c>
      <c r="AH18" s="238">
        <v>44724</v>
      </c>
      <c r="AI18" s="237">
        <v>44819</v>
      </c>
      <c r="AJ18" s="238">
        <v>44844</v>
      </c>
      <c r="AK18" s="239">
        <f t="shared" si="0"/>
        <v>25</v>
      </c>
      <c r="AL18" s="256">
        <v>44999</v>
      </c>
      <c r="AM18" s="256">
        <v>45028</v>
      </c>
      <c r="AN18" s="241">
        <f t="shared" si="1"/>
        <v>29</v>
      </c>
      <c r="AO18" s="242">
        <v>45235</v>
      </c>
      <c r="AP18" s="242">
        <v>45236</v>
      </c>
      <c r="AQ18" s="243">
        <v>45259</v>
      </c>
      <c r="AR18" s="243">
        <v>45257</v>
      </c>
      <c r="AS18" s="244">
        <f t="shared" si="4"/>
        <v>21</v>
      </c>
      <c r="AT18" s="253" t="s">
        <v>1067</v>
      </c>
      <c r="AU18" s="246">
        <v>45367</v>
      </c>
      <c r="AV18" s="247">
        <v>45376</v>
      </c>
      <c r="AW18" s="248">
        <v>9</v>
      </c>
      <c r="AX18" s="249">
        <v>45629</v>
      </c>
      <c r="AY18" s="250">
        <v>45630</v>
      </c>
      <c r="AZ18" s="250">
        <v>45634</v>
      </c>
      <c r="BA18" s="250">
        <v>45636</v>
      </c>
      <c r="BB18" s="251">
        <v>6</v>
      </c>
      <c r="BC18" s="252" t="s">
        <v>1068</v>
      </c>
      <c r="BD18" s="313" t="s">
        <v>1126</v>
      </c>
      <c r="BE18" s="309">
        <v>45783</v>
      </c>
      <c r="BF18" s="302">
        <v>45792</v>
      </c>
      <c r="BG18" s="318">
        <f t="shared" si="2"/>
        <v>9</v>
      </c>
      <c r="BH18" s="319">
        <f t="shared" si="3"/>
        <v>100</v>
      </c>
      <c r="BI18" s="320" t="s">
        <v>1163</v>
      </c>
    </row>
    <row r="19" spans="1:61" s="227" customFormat="1">
      <c r="A19" s="228">
        <v>15</v>
      </c>
      <c r="B19" s="257" t="s">
        <v>1069</v>
      </c>
      <c r="C19" s="230" t="s">
        <v>1048</v>
      </c>
      <c r="D19" s="257">
        <v>100261404</v>
      </c>
      <c r="E19" s="254">
        <v>42034</v>
      </c>
      <c r="F19" s="255">
        <v>42034</v>
      </c>
      <c r="G19" s="231">
        <v>42215</v>
      </c>
      <c r="H19" s="233">
        <v>42235</v>
      </c>
      <c r="I19" s="254">
        <v>42399</v>
      </c>
      <c r="J19" s="233">
        <v>42399</v>
      </c>
      <c r="K19" s="231">
        <v>42581</v>
      </c>
      <c r="L19" s="233">
        <v>42600</v>
      </c>
      <c r="M19" s="254">
        <v>42765</v>
      </c>
      <c r="N19" s="233">
        <v>42770</v>
      </c>
      <c r="O19" s="231">
        <v>42946</v>
      </c>
      <c r="P19" s="234">
        <v>42958</v>
      </c>
      <c r="Q19" s="254">
        <v>43130</v>
      </c>
      <c r="R19" s="234">
        <v>43130</v>
      </c>
      <c r="S19" s="231">
        <v>43311</v>
      </c>
      <c r="T19" s="234">
        <v>43410</v>
      </c>
      <c r="U19" s="235">
        <v>43490</v>
      </c>
      <c r="V19" s="236">
        <v>43516</v>
      </c>
      <c r="W19" s="235">
        <v>43729</v>
      </c>
      <c r="X19" s="236">
        <v>43741</v>
      </c>
      <c r="Y19" s="237">
        <v>43909</v>
      </c>
      <c r="Z19" s="238">
        <v>43967</v>
      </c>
      <c r="AA19" s="237">
        <v>44089</v>
      </c>
      <c r="AB19" s="238">
        <v>44124</v>
      </c>
      <c r="AC19" s="237">
        <v>44274</v>
      </c>
      <c r="AD19" s="238">
        <v>44305</v>
      </c>
      <c r="AE19" s="237">
        <v>44456</v>
      </c>
      <c r="AF19" s="238">
        <v>44725</v>
      </c>
      <c r="AG19" s="237">
        <v>44637</v>
      </c>
      <c r="AH19" s="238">
        <v>44725</v>
      </c>
      <c r="AI19" s="237">
        <v>44821</v>
      </c>
      <c r="AJ19" s="238">
        <v>44845</v>
      </c>
      <c r="AK19" s="239">
        <f t="shared" si="0"/>
        <v>24</v>
      </c>
      <c r="AL19" s="256">
        <v>45001</v>
      </c>
      <c r="AM19" s="256">
        <v>45030</v>
      </c>
      <c r="AN19" s="241">
        <f t="shared" si="1"/>
        <v>29</v>
      </c>
      <c r="AO19" s="242">
        <v>45237</v>
      </c>
      <c r="AP19" s="242">
        <v>45238</v>
      </c>
      <c r="AQ19" s="243">
        <v>45260</v>
      </c>
      <c r="AR19" s="243">
        <v>45261</v>
      </c>
      <c r="AS19" s="244">
        <f t="shared" si="4"/>
        <v>23</v>
      </c>
      <c r="AT19" s="253" t="s">
        <v>1070</v>
      </c>
      <c r="AU19" s="246">
        <v>45369</v>
      </c>
      <c r="AV19" s="247">
        <v>45377</v>
      </c>
      <c r="AW19" s="248">
        <v>8</v>
      </c>
      <c r="AX19" s="249">
        <v>45631</v>
      </c>
      <c r="AY19" s="250">
        <v>45632</v>
      </c>
      <c r="AZ19" s="250">
        <v>45638</v>
      </c>
      <c r="BA19" s="250">
        <v>45641</v>
      </c>
      <c r="BB19" s="251">
        <v>9</v>
      </c>
      <c r="BC19" s="252" t="s">
        <v>1071</v>
      </c>
      <c r="BD19" s="313" t="s">
        <v>1127</v>
      </c>
      <c r="BE19" s="309">
        <v>45785</v>
      </c>
      <c r="BF19" s="302">
        <v>45793</v>
      </c>
      <c r="BG19" s="318">
        <f t="shared" si="2"/>
        <v>8</v>
      </c>
      <c r="BH19" s="319">
        <f>IF(BG19&lt;-15,100-((-1*BG19-15)/90)*100,IF(BG19&gt;15,100-((BG19-15)/90)*100,1*100))</f>
        <v>100</v>
      </c>
      <c r="BI19" s="320"/>
    </row>
    <row r="20" spans="1:61" s="227" customFormat="1">
      <c r="A20" s="228">
        <v>16</v>
      </c>
      <c r="B20" s="257" t="s">
        <v>1072</v>
      </c>
      <c r="C20" s="230" t="s">
        <v>1048</v>
      </c>
      <c r="D20" s="257">
        <v>100261369</v>
      </c>
      <c r="E20" s="254">
        <v>42038</v>
      </c>
      <c r="F20" s="255">
        <v>42038</v>
      </c>
      <c r="G20" s="231">
        <v>42219</v>
      </c>
      <c r="H20" s="233">
        <v>42238</v>
      </c>
      <c r="I20" s="254">
        <v>42403</v>
      </c>
      <c r="J20" s="233">
        <v>42403</v>
      </c>
      <c r="K20" s="231">
        <v>42585</v>
      </c>
      <c r="L20" s="233">
        <v>42601</v>
      </c>
      <c r="M20" s="254">
        <v>42769</v>
      </c>
      <c r="N20" s="233">
        <v>42776</v>
      </c>
      <c r="O20" s="231">
        <v>42950</v>
      </c>
      <c r="P20" s="234">
        <v>42975</v>
      </c>
      <c r="Q20" s="254">
        <v>43134</v>
      </c>
      <c r="R20" s="234">
        <v>43143</v>
      </c>
      <c r="S20" s="231">
        <v>43315</v>
      </c>
      <c r="T20" s="234">
        <v>43411</v>
      </c>
      <c r="U20" s="235">
        <v>43494</v>
      </c>
      <c r="V20" s="236">
        <v>43517</v>
      </c>
      <c r="W20" s="235">
        <v>43730</v>
      </c>
      <c r="X20" s="236">
        <v>43744</v>
      </c>
      <c r="Y20" s="237">
        <v>43910</v>
      </c>
      <c r="Z20" s="238">
        <v>43968</v>
      </c>
      <c r="AA20" s="237">
        <v>44090</v>
      </c>
      <c r="AB20" s="238">
        <v>44125</v>
      </c>
      <c r="AC20" s="237">
        <v>44277</v>
      </c>
      <c r="AD20" s="238">
        <v>44306</v>
      </c>
      <c r="AE20" s="237">
        <v>44456</v>
      </c>
      <c r="AF20" s="238">
        <v>44726</v>
      </c>
      <c r="AG20" s="237">
        <v>44638</v>
      </c>
      <c r="AH20" s="238">
        <v>44726</v>
      </c>
      <c r="AI20" s="237">
        <v>44821</v>
      </c>
      <c r="AJ20" s="238">
        <v>44848</v>
      </c>
      <c r="AK20" s="239">
        <f t="shared" si="0"/>
        <v>27</v>
      </c>
      <c r="AL20" s="256">
        <v>45001</v>
      </c>
      <c r="AM20" s="256">
        <v>45033</v>
      </c>
      <c r="AN20" s="241">
        <f t="shared" si="1"/>
        <v>32</v>
      </c>
      <c r="AO20" s="242">
        <v>45239</v>
      </c>
      <c r="AP20" s="242">
        <v>45240</v>
      </c>
      <c r="AQ20" s="243">
        <v>45261</v>
      </c>
      <c r="AR20" s="243">
        <v>45262</v>
      </c>
      <c r="AS20" s="244">
        <f t="shared" si="4"/>
        <v>22</v>
      </c>
      <c r="AT20" s="253" t="s">
        <v>1073</v>
      </c>
      <c r="AU20" s="246">
        <v>45370</v>
      </c>
      <c r="AV20" s="247">
        <v>45367</v>
      </c>
      <c r="AW20" s="248">
        <v>3</v>
      </c>
      <c r="AX20" s="249">
        <v>45633</v>
      </c>
      <c r="AY20" s="250">
        <v>45635</v>
      </c>
      <c r="AZ20" s="250">
        <v>45642</v>
      </c>
      <c r="BA20" s="250">
        <v>45643</v>
      </c>
      <c r="BB20" s="251">
        <v>8</v>
      </c>
      <c r="BC20" s="252" t="s">
        <v>1074</v>
      </c>
      <c r="BD20" s="313" t="s">
        <v>1128</v>
      </c>
      <c r="BE20" s="309">
        <v>45786</v>
      </c>
      <c r="BF20" s="302">
        <v>45794</v>
      </c>
      <c r="BG20" s="318">
        <f t="shared" si="2"/>
        <v>8</v>
      </c>
      <c r="BH20" s="319">
        <f t="shared" ref="BH20:BH44" si="5">IF(BG20&lt;-15,100-((-1*BG20-15)/90)*100,IF(BG20&gt;15,100-((BG20-15)/90)*100,1*100))</f>
        <v>100</v>
      </c>
      <c r="BI20" s="320"/>
    </row>
    <row r="21" spans="1:61" s="227" customFormat="1">
      <c r="A21" s="228">
        <v>17</v>
      </c>
      <c r="B21" s="229" t="s">
        <v>1075</v>
      </c>
      <c r="C21" s="230" t="s">
        <v>1053</v>
      </c>
      <c r="D21" s="229">
        <v>100261339</v>
      </c>
      <c r="E21" s="254">
        <v>42039</v>
      </c>
      <c r="F21" s="255">
        <v>42039</v>
      </c>
      <c r="G21" s="231">
        <v>42220</v>
      </c>
      <c r="H21" s="233">
        <v>42244</v>
      </c>
      <c r="I21" s="254">
        <v>42404</v>
      </c>
      <c r="J21" s="233">
        <v>42404</v>
      </c>
      <c r="K21" s="231">
        <v>42586</v>
      </c>
      <c r="L21" s="233">
        <v>42605</v>
      </c>
      <c r="M21" s="254">
        <v>42770</v>
      </c>
      <c r="N21" s="233">
        <v>42775</v>
      </c>
      <c r="O21" s="231">
        <v>42951</v>
      </c>
      <c r="P21" s="234">
        <v>42979</v>
      </c>
      <c r="Q21" s="254">
        <v>43135</v>
      </c>
      <c r="R21" s="234">
        <v>43166</v>
      </c>
      <c r="S21" s="231">
        <v>43316</v>
      </c>
      <c r="T21" s="234">
        <v>43412</v>
      </c>
      <c r="U21" s="235">
        <v>43495</v>
      </c>
      <c r="V21" s="236">
        <v>43522</v>
      </c>
      <c r="W21" s="235">
        <v>43731</v>
      </c>
      <c r="X21" s="236">
        <v>43745</v>
      </c>
      <c r="Y21" s="237">
        <v>43911</v>
      </c>
      <c r="Z21" s="238">
        <v>43963</v>
      </c>
      <c r="AA21" s="237">
        <v>44091</v>
      </c>
      <c r="AB21" s="238">
        <v>44185</v>
      </c>
      <c r="AC21" s="237">
        <v>44278</v>
      </c>
      <c r="AD21" s="238">
        <v>44296</v>
      </c>
      <c r="AE21" s="237">
        <v>44459</v>
      </c>
      <c r="AF21" s="238">
        <v>44709</v>
      </c>
      <c r="AG21" s="237">
        <v>44639</v>
      </c>
      <c r="AH21" s="238">
        <v>44709</v>
      </c>
      <c r="AI21" s="237">
        <v>44824</v>
      </c>
      <c r="AJ21" s="238">
        <v>44834</v>
      </c>
      <c r="AK21" s="239">
        <f t="shared" si="0"/>
        <v>10</v>
      </c>
      <c r="AL21" s="256">
        <v>45004</v>
      </c>
      <c r="AM21" s="256">
        <v>45014</v>
      </c>
      <c r="AN21" s="241">
        <f t="shared" si="1"/>
        <v>10</v>
      </c>
      <c r="AO21" s="242">
        <v>45241</v>
      </c>
      <c r="AP21" s="242">
        <v>45242</v>
      </c>
      <c r="AQ21" s="243">
        <v>45210</v>
      </c>
      <c r="AR21" s="243">
        <v>45234</v>
      </c>
      <c r="AS21" s="244">
        <f t="shared" si="4"/>
        <v>-8</v>
      </c>
      <c r="AT21" s="253" t="s">
        <v>1076</v>
      </c>
      <c r="AU21" s="246">
        <v>45371</v>
      </c>
      <c r="AV21" s="247">
        <v>45378</v>
      </c>
      <c r="AW21" s="248">
        <v>7</v>
      </c>
      <c r="AX21" s="249">
        <v>45636</v>
      </c>
      <c r="AY21" s="250">
        <v>45637</v>
      </c>
      <c r="AZ21" s="250">
        <v>45646</v>
      </c>
      <c r="BA21" s="250">
        <v>45647</v>
      </c>
      <c r="BB21" s="251">
        <v>10</v>
      </c>
      <c r="BC21" s="252" t="s">
        <v>1050</v>
      </c>
      <c r="BD21" s="313" t="s">
        <v>1129</v>
      </c>
      <c r="BE21" s="309">
        <v>45787</v>
      </c>
      <c r="BF21" s="302">
        <v>45795</v>
      </c>
      <c r="BG21" s="318">
        <f t="shared" si="2"/>
        <v>8</v>
      </c>
      <c r="BH21" s="319">
        <f t="shared" si="5"/>
        <v>100</v>
      </c>
      <c r="BI21" s="320" t="s">
        <v>1050</v>
      </c>
    </row>
    <row r="22" spans="1:61" s="227" customFormat="1">
      <c r="A22" s="228">
        <v>18</v>
      </c>
      <c r="B22" s="257" t="s">
        <v>1077</v>
      </c>
      <c r="C22" s="230" t="s">
        <v>1053</v>
      </c>
      <c r="D22" s="257">
        <v>100261410</v>
      </c>
      <c r="E22" s="258">
        <v>42093</v>
      </c>
      <c r="F22" s="259">
        <v>42093</v>
      </c>
      <c r="G22" s="231">
        <v>42277</v>
      </c>
      <c r="H22" s="233">
        <v>42174</v>
      </c>
      <c r="I22" s="258">
        <v>42459</v>
      </c>
      <c r="J22" s="233">
        <v>42451</v>
      </c>
      <c r="K22" s="231">
        <v>42643</v>
      </c>
      <c r="L22" s="233">
        <v>42660</v>
      </c>
      <c r="M22" s="258">
        <v>42824</v>
      </c>
      <c r="N22" s="233">
        <v>42826</v>
      </c>
      <c r="O22" s="231">
        <v>43007</v>
      </c>
      <c r="P22" s="234">
        <v>43003</v>
      </c>
      <c r="Q22" s="258">
        <v>43189</v>
      </c>
      <c r="R22" s="233">
        <v>43270</v>
      </c>
      <c r="S22" s="231">
        <v>43372</v>
      </c>
      <c r="T22" s="234">
        <v>43413</v>
      </c>
      <c r="U22" s="235">
        <v>43549</v>
      </c>
      <c r="V22" s="236">
        <v>43530</v>
      </c>
      <c r="W22" s="235">
        <v>43732</v>
      </c>
      <c r="X22" s="236">
        <v>43747</v>
      </c>
      <c r="Y22" s="237">
        <v>43912</v>
      </c>
      <c r="Z22" s="238">
        <v>43968</v>
      </c>
      <c r="AA22" s="237">
        <v>44092</v>
      </c>
      <c r="AB22" s="238">
        <v>44122</v>
      </c>
      <c r="AC22" s="237">
        <v>44279</v>
      </c>
      <c r="AD22" s="238">
        <v>44297</v>
      </c>
      <c r="AE22" s="237">
        <v>44459</v>
      </c>
      <c r="AF22" s="238">
        <v>44739</v>
      </c>
      <c r="AG22" s="237">
        <v>44641</v>
      </c>
      <c r="AH22" s="238">
        <v>44739</v>
      </c>
      <c r="AI22" s="237">
        <v>44824</v>
      </c>
      <c r="AJ22" s="238">
        <v>44849</v>
      </c>
      <c r="AK22" s="239">
        <f t="shared" si="0"/>
        <v>25</v>
      </c>
      <c r="AL22" s="256">
        <v>45004</v>
      </c>
      <c r="AM22" s="256">
        <v>45034</v>
      </c>
      <c r="AN22" s="241">
        <f t="shared" si="1"/>
        <v>30</v>
      </c>
      <c r="AO22" s="242">
        <v>45243</v>
      </c>
      <c r="AP22" s="242">
        <v>45244</v>
      </c>
      <c r="AQ22" s="243">
        <v>45265</v>
      </c>
      <c r="AR22" s="243">
        <v>45266</v>
      </c>
      <c r="AS22" s="244">
        <f t="shared" si="4"/>
        <v>22</v>
      </c>
      <c r="AT22" s="245"/>
      <c r="AU22" s="246">
        <v>45373</v>
      </c>
      <c r="AV22" s="247">
        <v>45380</v>
      </c>
      <c r="AW22" s="248">
        <v>7</v>
      </c>
      <c r="AX22" s="249">
        <v>45638</v>
      </c>
      <c r="AY22" s="250">
        <v>45639</v>
      </c>
      <c r="AZ22" s="250">
        <v>45727</v>
      </c>
      <c r="BA22" s="250">
        <v>45731</v>
      </c>
      <c r="BB22" s="251" t="s">
        <v>1078</v>
      </c>
      <c r="BC22" s="252" t="s">
        <v>1079</v>
      </c>
      <c r="BD22" s="315" t="s">
        <v>1130</v>
      </c>
      <c r="BE22" s="310">
        <v>45788</v>
      </c>
      <c r="BF22" s="311">
        <v>45797</v>
      </c>
      <c r="BG22" s="325">
        <f t="shared" si="2"/>
        <v>9</v>
      </c>
      <c r="BH22" s="319">
        <f t="shared" si="5"/>
        <v>100</v>
      </c>
      <c r="BI22" s="326"/>
    </row>
    <row r="23" spans="1:61" s="227" customFormat="1">
      <c r="A23" s="228">
        <v>19</v>
      </c>
      <c r="B23" s="257" t="s">
        <v>1080</v>
      </c>
      <c r="C23" s="230" t="s">
        <v>1048</v>
      </c>
      <c r="D23" s="257">
        <v>100261399</v>
      </c>
      <c r="E23" s="258">
        <v>42094</v>
      </c>
      <c r="F23" s="259">
        <v>42094</v>
      </c>
      <c r="G23" s="231">
        <v>42277</v>
      </c>
      <c r="H23" s="233">
        <v>42250</v>
      </c>
      <c r="I23" s="258">
        <v>42460</v>
      </c>
      <c r="J23" s="233">
        <v>42458</v>
      </c>
      <c r="K23" s="231">
        <v>42644</v>
      </c>
      <c r="L23" s="233">
        <v>42647</v>
      </c>
      <c r="M23" s="258">
        <v>42825</v>
      </c>
      <c r="N23" s="233">
        <v>42829</v>
      </c>
      <c r="O23" s="231">
        <v>43008</v>
      </c>
      <c r="P23" s="234">
        <v>43004</v>
      </c>
      <c r="Q23" s="258">
        <v>43190</v>
      </c>
      <c r="R23" s="233">
        <v>43272</v>
      </c>
      <c r="S23" s="231">
        <v>43373</v>
      </c>
      <c r="T23" s="234">
        <v>43414</v>
      </c>
      <c r="U23" s="235">
        <v>43550</v>
      </c>
      <c r="V23" s="236">
        <v>43531</v>
      </c>
      <c r="W23" s="235">
        <v>43733</v>
      </c>
      <c r="X23" s="236">
        <v>43750</v>
      </c>
      <c r="Y23" s="237">
        <v>43913</v>
      </c>
      <c r="Z23" s="238">
        <v>43970</v>
      </c>
      <c r="AA23" s="237">
        <v>44093</v>
      </c>
      <c r="AB23" s="238">
        <v>44180</v>
      </c>
      <c r="AC23" s="237">
        <v>44280</v>
      </c>
      <c r="AD23" s="238">
        <v>44308</v>
      </c>
      <c r="AE23" s="237">
        <v>44461</v>
      </c>
      <c r="AF23" s="238">
        <v>44747</v>
      </c>
      <c r="AG23" s="237">
        <v>44642</v>
      </c>
      <c r="AH23" s="238">
        <v>44747</v>
      </c>
      <c r="AI23" s="237">
        <v>44826</v>
      </c>
      <c r="AJ23" s="238">
        <v>44850</v>
      </c>
      <c r="AK23" s="239">
        <f t="shared" si="0"/>
        <v>24</v>
      </c>
      <c r="AL23" s="256">
        <v>45006</v>
      </c>
      <c r="AM23" s="256">
        <v>45035</v>
      </c>
      <c r="AN23" s="241">
        <f t="shared" si="1"/>
        <v>29</v>
      </c>
      <c r="AO23" s="242">
        <v>45245</v>
      </c>
      <c r="AP23" s="242">
        <v>45246</v>
      </c>
      <c r="AQ23" s="243">
        <v>45264</v>
      </c>
      <c r="AR23" s="243">
        <v>45265</v>
      </c>
      <c r="AS23" s="244">
        <f t="shared" si="4"/>
        <v>19</v>
      </c>
      <c r="AT23" s="245"/>
      <c r="AU23" s="246">
        <v>45374</v>
      </c>
      <c r="AV23" s="247">
        <v>45381</v>
      </c>
      <c r="AW23" s="248">
        <v>7</v>
      </c>
      <c r="AX23" s="249">
        <v>45640</v>
      </c>
      <c r="AY23" s="250">
        <v>45642</v>
      </c>
      <c r="AZ23" s="250">
        <v>45653</v>
      </c>
      <c r="BA23" s="250">
        <v>45654</v>
      </c>
      <c r="BB23" s="251">
        <v>12</v>
      </c>
      <c r="BC23" s="252" t="s">
        <v>1050</v>
      </c>
      <c r="BD23" s="313" t="s">
        <v>1131</v>
      </c>
      <c r="BE23" s="310">
        <v>45789</v>
      </c>
      <c r="BF23" s="302">
        <v>45796</v>
      </c>
      <c r="BG23" s="318">
        <f t="shared" si="2"/>
        <v>7</v>
      </c>
      <c r="BH23" s="319">
        <f t="shared" si="5"/>
        <v>100</v>
      </c>
      <c r="BI23" s="320"/>
    </row>
    <row r="24" spans="1:61" s="227" customFormat="1">
      <c r="A24" s="228">
        <v>20</v>
      </c>
      <c r="B24" s="257" t="s">
        <v>1081</v>
      </c>
      <c r="C24" s="230" t="s">
        <v>1048</v>
      </c>
      <c r="D24" s="257">
        <v>100261392</v>
      </c>
      <c r="E24" s="258">
        <v>42095</v>
      </c>
      <c r="F24" s="259">
        <v>42095</v>
      </c>
      <c r="G24" s="231">
        <v>42278</v>
      </c>
      <c r="H24" s="233">
        <v>42177</v>
      </c>
      <c r="I24" s="258">
        <v>42461</v>
      </c>
      <c r="J24" s="233">
        <v>42460</v>
      </c>
      <c r="K24" s="231">
        <v>42645</v>
      </c>
      <c r="L24" s="233">
        <v>42661</v>
      </c>
      <c r="M24" s="258">
        <v>42826</v>
      </c>
      <c r="N24" s="233">
        <v>42832</v>
      </c>
      <c r="O24" s="231">
        <v>43009</v>
      </c>
      <c r="P24" s="234">
        <v>43053</v>
      </c>
      <c r="Q24" s="258">
        <v>43191</v>
      </c>
      <c r="R24" s="233">
        <v>43273</v>
      </c>
      <c r="S24" s="231">
        <v>43374</v>
      </c>
      <c r="T24" s="234">
        <v>43416</v>
      </c>
      <c r="U24" s="235">
        <v>43551</v>
      </c>
      <c r="V24" s="236">
        <v>43511</v>
      </c>
      <c r="W24" s="235">
        <v>43734</v>
      </c>
      <c r="X24" s="236">
        <v>43751</v>
      </c>
      <c r="Y24" s="237">
        <v>43914</v>
      </c>
      <c r="Z24" s="238">
        <v>43969</v>
      </c>
      <c r="AA24" s="237">
        <v>44094</v>
      </c>
      <c r="AB24" s="238">
        <v>44181</v>
      </c>
      <c r="AC24" s="237">
        <v>44281</v>
      </c>
      <c r="AD24" s="238">
        <v>44310</v>
      </c>
      <c r="AE24" s="237">
        <v>44461</v>
      </c>
      <c r="AF24" s="238">
        <v>44740</v>
      </c>
      <c r="AG24" s="237">
        <v>44643</v>
      </c>
      <c r="AH24" s="238">
        <v>44740</v>
      </c>
      <c r="AI24" s="237">
        <v>44826</v>
      </c>
      <c r="AJ24" s="238">
        <v>44915</v>
      </c>
      <c r="AK24" s="239">
        <f t="shared" si="0"/>
        <v>89</v>
      </c>
      <c r="AL24" s="256">
        <v>45006</v>
      </c>
      <c r="AM24" s="260">
        <v>45052</v>
      </c>
      <c r="AN24" s="241">
        <f t="shared" si="1"/>
        <v>46</v>
      </c>
      <c r="AO24" s="242">
        <v>45247</v>
      </c>
      <c r="AP24" s="242">
        <v>45248</v>
      </c>
      <c r="AQ24" s="261">
        <v>45364</v>
      </c>
      <c r="AR24" s="261">
        <v>45365</v>
      </c>
      <c r="AS24" s="244">
        <f t="shared" si="4"/>
        <v>117</v>
      </c>
      <c r="AT24" s="245" t="s">
        <v>1082</v>
      </c>
      <c r="AU24" s="246">
        <v>45376</v>
      </c>
      <c r="AV24" s="247">
        <v>45365</v>
      </c>
      <c r="AW24" s="248">
        <v>11</v>
      </c>
      <c r="AX24" s="249">
        <v>45643</v>
      </c>
      <c r="AY24" s="250">
        <v>45644</v>
      </c>
      <c r="AZ24" s="250">
        <v>45650</v>
      </c>
      <c r="BA24" s="250">
        <v>45652</v>
      </c>
      <c r="BB24" s="251">
        <v>8</v>
      </c>
      <c r="BC24" s="252" t="s">
        <v>1050</v>
      </c>
      <c r="BD24" s="313" t="s">
        <v>1132</v>
      </c>
      <c r="BE24" s="310">
        <v>45790</v>
      </c>
      <c r="BF24" s="302">
        <v>45798</v>
      </c>
      <c r="BG24" s="318">
        <f t="shared" si="2"/>
        <v>8</v>
      </c>
      <c r="BH24" s="319">
        <f t="shared" si="5"/>
        <v>100</v>
      </c>
      <c r="BI24" s="320"/>
    </row>
    <row r="25" spans="1:61" s="227" customFormat="1">
      <c r="A25" s="228">
        <v>21</v>
      </c>
      <c r="B25" s="257" t="s">
        <v>1083</v>
      </c>
      <c r="C25" s="230" t="s">
        <v>1048</v>
      </c>
      <c r="D25" s="257">
        <v>100261396</v>
      </c>
      <c r="E25" s="258">
        <v>42097</v>
      </c>
      <c r="F25" s="259">
        <v>42097</v>
      </c>
      <c r="G25" s="231">
        <v>42280</v>
      </c>
      <c r="H25" s="233">
        <v>42280</v>
      </c>
      <c r="I25" s="258">
        <v>42463</v>
      </c>
      <c r="J25" s="233">
        <v>42485</v>
      </c>
      <c r="K25" s="231">
        <v>42646</v>
      </c>
      <c r="L25" s="233">
        <v>42646</v>
      </c>
      <c r="M25" s="258">
        <v>42828</v>
      </c>
      <c r="N25" s="233">
        <v>42833</v>
      </c>
      <c r="O25" s="231">
        <v>43011</v>
      </c>
      <c r="P25" s="234">
        <v>43054</v>
      </c>
      <c r="Q25" s="258">
        <v>43193</v>
      </c>
      <c r="R25" s="233">
        <v>43278</v>
      </c>
      <c r="S25" s="231">
        <v>43376</v>
      </c>
      <c r="T25" s="234">
        <v>43418</v>
      </c>
      <c r="U25" s="235">
        <v>43553</v>
      </c>
      <c r="V25" s="236">
        <v>43532</v>
      </c>
      <c r="W25" s="235">
        <v>43735</v>
      </c>
      <c r="X25" s="236">
        <v>43752</v>
      </c>
      <c r="Y25" s="237">
        <v>43915</v>
      </c>
      <c r="Z25" s="238">
        <v>43946</v>
      </c>
      <c r="AA25" s="237">
        <v>44095</v>
      </c>
      <c r="AB25" s="238">
        <v>44176</v>
      </c>
      <c r="AC25" s="237">
        <v>44284</v>
      </c>
      <c r="AD25" s="238">
        <v>44311</v>
      </c>
      <c r="AE25" s="237">
        <v>44463</v>
      </c>
      <c r="AF25" s="238">
        <v>44736</v>
      </c>
      <c r="AG25" s="237">
        <v>44644</v>
      </c>
      <c r="AH25" s="238">
        <v>44736</v>
      </c>
      <c r="AI25" s="237">
        <v>44828</v>
      </c>
      <c r="AJ25" s="238">
        <v>44916</v>
      </c>
      <c r="AK25" s="239">
        <f t="shared" si="0"/>
        <v>88</v>
      </c>
      <c r="AL25" s="256">
        <v>45008</v>
      </c>
      <c r="AM25" s="260">
        <v>45053</v>
      </c>
      <c r="AN25" s="241">
        <f t="shared" si="1"/>
        <v>45</v>
      </c>
      <c r="AO25" s="242">
        <v>45249</v>
      </c>
      <c r="AP25" s="242">
        <v>45250</v>
      </c>
      <c r="AQ25" s="243">
        <v>45262</v>
      </c>
      <c r="AR25" s="243">
        <v>45264</v>
      </c>
      <c r="AS25" s="244">
        <f t="shared" si="4"/>
        <v>14</v>
      </c>
      <c r="AT25" s="245"/>
      <c r="AU25" s="246">
        <v>45377</v>
      </c>
      <c r="AV25" s="262">
        <v>45383</v>
      </c>
      <c r="AW25" s="248">
        <v>6</v>
      </c>
      <c r="AX25" s="263">
        <v>45645</v>
      </c>
      <c r="AY25" s="264">
        <v>45646</v>
      </c>
      <c r="AZ25" s="264">
        <v>45648</v>
      </c>
      <c r="BA25" s="264">
        <v>45649</v>
      </c>
      <c r="BB25" s="251">
        <v>3</v>
      </c>
      <c r="BC25" s="265" t="s">
        <v>1084</v>
      </c>
      <c r="BD25" s="313" t="s">
        <v>1133</v>
      </c>
      <c r="BE25" s="310">
        <v>45792</v>
      </c>
      <c r="BF25" s="302">
        <v>45799</v>
      </c>
      <c r="BG25" s="318">
        <f t="shared" si="2"/>
        <v>7</v>
      </c>
      <c r="BH25" s="319">
        <f t="shared" si="5"/>
        <v>100</v>
      </c>
      <c r="BI25" s="320"/>
    </row>
    <row r="26" spans="1:61" s="227" customFormat="1">
      <c r="A26" s="228">
        <v>22</v>
      </c>
      <c r="B26" s="257" t="s">
        <v>1085</v>
      </c>
      <c r="C26" s="230" t="s">
        <v>1048</v>
      </c>
      <c r="D26" s="257">
        <v>100261393</v>
      </c>
      <c r="E26" s="258">
        <v>42099</v>
      </c>
      <c r="F26" s="259">
        <v>42099</v>
      </c>
      <c r="G26" s="231">
        <v>42282</v>
      </c>
      <c r="H26" s="233">
        <v>42282</v>
      </c>
      <c r="I26" s="258">
        <v>42465</v>
      </c>
      <c r="J26" s="233">
        <v>42464</v>
      </c>
      <c r="K26" s="231">
        <v>42648</v>
      </c>
      <c r="L26" s="233">
        <v>42648</v>
      </c>
      <c r="M26" s="258">
        <v>42830</v>
      </c>
      <c r="N26" s="233">
        <v>42835</v>
      </c>
      <c r="O26" s="231">
        <v>43013</v>
      </c>
      <c r="P26" s="234">
        <v>43055</v>
      </c>
      <c r="Q26" s="258">
        <v>43195</v>
      </c>
      <c r="R26" s="233">
        <v>43282</v>
      </c>
      <c r="S26" s="231">
        <v>43378</v>
      </c>
      <c r="T26" s="234">
        <v>43420</v>
      </c>
      <c r="U26" s="235">
        <v>43555</v>
      </c>
      <c r="V26" s="236">
        <v>43533</v>
      </c>
      <c r="W26" s="235">
        <v>43736</v>
      </c>
      <c r="X26" s="236">
        <v>43753</v>
      </c>
      <c r="Y26" s="237">
        <v>43916</v>
      </c>
      <c r="Z26" s="238">
        <v>43947</v>
      </c>
      <c r="AA26" s="237">
        <v>44096</v>
      </c>
      <c r="AB26" s="238">
        <v>44126</v>
      </c>
      <c r="AC26" s="237">
        <v>44285</v>
      </c>
      <c r="AD26" s="238">
        <v>44312</v>
      </c>
      <c r="AE26" s="237">
        <v>44463</v>
      </c>
      <c r="AF26" s="238">
        <v>44732</v>
      </c>
      <c r="AG26" s="237">
        <v>44645</v>
      </c>
      <c r="AH26" s="238">
        <v>44732</v>
      </c>
      <c r="AI26" s="237">
        <v>44828</v>
      </c>
      <c r="AJ26" s="238">
        <v>44917</v>
      </c>
      <c r="AK26" s="239">
        <f t="shared" si="0"/>
        <v>89</v>
      </c>
      <c r="AL26" s="256">
        <v>45008</v>
      </c>
      <c r="AM26" s="260">
        <v>45054</v>
      </c>
      <c r="AN26" s="241">
        <f t="shared" si="1"/>
        <v>46</v>
      </c>
      <c r="AO26" s="242">
        <v>45251</v>
      </c>
      <c r="AP26" s="242">
        <v>45252</v>
      </c>
      <c r="AQ26" s="243">
        <v>45272</v>
      </c>
      <c r="AR26" s="243">
        <v>45273</v>
      </c>
      <c r="AS26" s="244">
        <f t="shared" si="4"/>
        <v>21</v>
      </c>
      <c r="AT26" s="245"/>
      <c r="AU26" s="246">
        <v>45378</v>
      </c>
      <c r="AV26" s="262">
        <v>45384</v>
      </c>
      <c r="AW26" s="248">
        <v>6</v>
      </c>
      <c r="AX26" s="263">
        <v>45647</v>
      </c>
      <c r="AY26" s="264">
        <v>45649</v>
      </c>
      <c r="AZ26" s="264">
        <v>45655</v>
      </c>
      <c r="BA26" s="264">
        <v>45656</v>
      </c>
      <c r="BB26" s="251">
        <v>7</v>
      </c>
      <c r="BC26" s="265" t="s">
        <v>1050</v>
      </c>
      <c r="BD26" s="313" t="s">
        <v>1134</v>
      </c>
      <c r="BE26" s="310">
        <v>45793</v>
      </c>
      <c r="BF26" s="302">
        <v>45800</v>
      </c>
      <c r="BG26" s="318">
        <f t="shared" si="2"/>
        <v>7</v>
      </c>
      <c r="BH26" s="319">
        <f t="shared" si="5"/>
        <v>100</v>
      </c>
      <c r="BI26" s="320"/>
    </row>
    <row r="27" spans="1:61" s="227" customFormat="1">
      <c r="A27" s="228">
        <v>23</v>
      </c>
      <c r="B27" s="257" t="s">
        <v>1086</v>
      </c>
      <c r="C27" s="230" t="s">
        <v>1048</v>
      </c>
      <c r="D27" s="257">
        <v>100261402</v>
      </c>
      <c r="E27" s="258">
        <v>42100</v>
      </c>
      <c r="F27" s="259">
        <v>42100</v>
      </c>
      <c r="G27" s="231">
        <v>42283</v>
      </c>
      <c r="H27" s="233">
        <v>42284</v>
      </c>
      <c r="I27" s="258">
        <v>42466</v>
      </c>
      <c r="J27" s="233">
        <v>42461</v>
      </c>
      <c r="K27" s="231">
        <v>42649</v>
      </c>
      <c r="L27" s="233">
        <v>42649</v>
      </c>
      <c r="M27" s="258">
        <v>42831</v>
      </c>
      <c r="N27" s="233">
        <v>42836</v>
      </c>
      <c r="O27" s="231">
        <v>43014</v>
      </c>
      <c r="P27" s="234">
        <v>43056</v>
      </c>
      <c r="Q27" s="258">
        <v>43196</v>
      </c>
      <c r="R27" s="233">
        <v>43283</v>
      </c>
      <c r="S27" s="231">
        <v>43379</v>
      </c>
      <c r="T27" s="234">
        <v>43421</v>
      </c>
      <c r="U27" s="235">
        <v>43556</v>
      </c>
      <c r="V27" s="236">
        <v>43535</v>
      </c>
      <c r="W27" s="235">
        <v>43737</v>
      </c>
      <c r="X27" s="236">
        <v>43754</v>
      </c>
      <c r="Y27" s="237">
        <v>43917</v>
      </c>
      <c r="Z27" s="238">
        <v>43947</v>
      </c>
      <c r="AA27" s="237">
        <v>44097</v>
      </c>
      <c r="AB27" s="238">
        <v>44127</v>
      </c>
      <c r="AC27" s="237">
        <v>44286</v>
      </c>
      <c r="AD27" s="238">
        <v>44313</v>
      </c>
      <c r="AE27" s="237">
        <v>44466</v>
      </c>
      <c r="AF27" s="238">
        <v>44707</v>
      </c>
      <c r="AG27" s="237">
        <v>44646</v>
      </c>
      <c r="AH27" s="238">
        <v>44707</v>
      </c>
      <c r="AI27" s="237">
        <v>44831</v>
      </c>
      <c r="AJ27" s="238">
        <v>44918</v>
      </c>
      <c r="AK27" s="239">
        <f t="shared" si="0"/>
        <v>87</v>
      </c>
      <c r="AL27" s="256">
        <v>45011</v>
      </c>
      <c r="AM27" s="260">
        <v>45055</v>
      </c>
      <c r="AN27" s="241">
        <f t="shared" si="1"/>
        <v>44</v>
      </c>
      <c r="AO27" s="242">
        <v>45253</v>
      </c>
      <c r="AP27" s="242">
        <v>45254</v>
      </c>
      <c r="AQ27" s="243">
        <v>45273</v>
      </c>
      <c r="AR27" s="243">
        <v>45272</v>
      </c>
      <c r="AS27" s="244">
        <f t="shared" si="4"/>
        <v>18</v>
      </c>
      <c r="AT27" s="245"/>
      <c r="AU27" s="246">
        <v>45380</v>
      </c>
      <c r="AV27" s="262">
        <v>45385</v>
      </c>
      <c r="AW27" s="248">
        <v>5</v>
      </c>
      <c r="AX27" s="263">
        <v>45650</v>
      </c>
      <c r="AY27" s="264">
        <v>45651</v>
      </c>
      <c r="AZ27" s="264">
        <v>45659</v>
      </c>
      <c r="BA27" s="264">
        <v>45660</v>
      </c>
      <c r="BB27" s="251">
        <v>9</v>
      </c>
      <c r="BC27" s="265" t="s">
        <v>1087</v>
      </c>
      <c r="BD27" s="315" t="s">
        <v>1135</v>
      </c>
      <c r="BE27" s="310">
        <v>45794</v>
      </c>
      <c r="BF27" s="302">
        <v>45801</v>
      </c>
      <c r="BG27" s="318">
        <f t="shared" si="2"/>
        <v>7</v>
      </c>
      <c r="BH27" s="319">
        <f t="shared" si="5"/>
        <v>100</v>
      </c>
      <c r="BI27" s="320"/>
    </row>
    <row r="28" spans="1:61" s="227" customFormat="1">
      <c r="A28" s="266">
        <v>24</v>
      </c>
      <c r="B28" s="257" t="s">
        <v>1088</v>
      </c>
      <c r="C28" s="230" t="s">
        <v>1048</v>
      </c>
      <c r="D28" s="257">
        <v>100261394</v>
      </c>
      <c r="E28" s="258">
        <v>42101</v>
      </c>
      <c r="F28" s="259">
        <v>42101</v>
      </c>
      <c r="G28" s="231">
        <v>42284</v>
      </c>
      <c r="H28" s="233">
        <v>42285</v>
      </c>
      <c r="I28" s="258">
        <v>42467</v>
      </c>
      <c r="J28" s="233">
        <v>42469</v>
      </c>
      <c r="K28" s="231">
        <v>42650</v>
      </c>
      <c r="L28" s="233">
        <v>42650</v>
      </c>
      <c r="M28" s="258">
        <v>42832</v>
      </c>
      <c r="N28" s="233">
        <v>42837</v>
      </c>
      <c r="O28" s="231">
        <v>43015</v>
      </c>
      <c r="P28" s="234">
        <v>43057</v>
      </c>
      <c r="Q28" s="258">
        <v>43197</v>
      </c>
      <c r="R28" s="233">
        <v>43301</v>
      </c>
      <c r="S28" s="231">
        <v>43380</v>
      </c>
      <c r="T28" s="234">
        <v>43422</v>
      </c>
      <c r="U28" s="235">
        <v>43557</v>
      </c>
      <c r="V28" s="236">
        <v>43536</v>
      </c>
      <c r="W28" s="235">
        <v>43738</v>
      </c>
      <c r="X28" s="236">
        <v>43755</v>
      </c>
      <c r="Y28" s="237">
        <v>43918</v>
      </c>
      <c r="Z28" s="238">
        <v>43948</v>
      </c>
      <c r="AA28" s="237">
        <v>44098</v>
      </c>
      <c r="AB28" s="238">
        <v>44128</v>
      </c>
      <c r="AC28" s="237">
        <v>44287</v>
      </c>
      <c r="AD28" s="238">
        <v>44315</v>
      </c>
      <c r="AE28" s="237">
        <v>44466</v>
      </c>
      <c r="AF28" s="238">
        <v>44699</v>
      </c>
      <c r="AG28" s="237">
        <v>44648</v>
      </c>
      <c r="AH28" s="238">
        <v>44699</v>
      </c>
      <c r="AI28" s="237">
        <v>44831</v>
      </c>
      <c r="AJ28" s="238">
        <v>44919</v>
      </c>
      <c r="AK28" s="239">
        <f t="shared" si="0"/>
        <v>88</v>
      </c>
      <c r="AL28" s="256">
        <v>45011</v>
      </c>
      <c r="AM28" s="260">
        <v>45074</v>
      </c>
      <c r="AN28" s="241">
        <f t="shared" si="1"/>
        <v>63</v>
      </c>
      <c r="AO28" s="242">
        <v>45255</v>
      </c>
      <c r="AP28" s="242">
        <v>45256</v>
      </c>
      <c r="AQ28" s="243">
        <v>45270</v>
      </c>
      <c r="AR28" s="243">
        <v>45271</v>
      </c>
      <c r="AS28" s="267">
        <f t="shared" si="4"/>
        <v>15</v>
      </c>
      <c r="AT28" s="245"/>
      <c r="AU28" s="246">
        <v>45381</v>
      </c>
      <c r="AV28" s="247">
        <v>45369</v>
      </c>
      <c r="AW28" s="248">
        <v>12</v>
      </c>
      <c r="AX28" s="249">
        <v>45652</v>
      </c>
      <c r="AY28" s="250">
        <v>45653</v>
      </c>
      <c r="AZ28" s="250">
        <v>45661</v>
      </c>
      <c r="BA28" s="250">
        <v>45663</v>
      </c>
      <c r="BB28" s="251">
        <v>10</v>
      </c>
      <c r="BC28" s="252" t="s">
        <v>1089</v>
      </c>
      <c r="BD28" s="315" t="s">
        <v>1136</v>
      </c>
      <c r="BE28" s="308">
        <v>45795</v>
      </c>
      <c r="BF28" s="302">
        <v>45802</v>
      </c>
      <c r="BG28" s="318">
        <f t="shared" si="2"/>
        <v>7</v>
      </c>
      <c r="BH28" s="319">
        <f t="shared" si="5"/>
        <v>100</v>
      </c>
      <c r="BI28" s="320"/>
    </row>
    <row r="29" spans="1:61" s="227" customFormat="1">
      <c r="A29" s="202">
        <v>25</v>
      </c>
      <c r="B29" s="268" t="s">
        <v>1090</v>
      </c>
      <c r="C29" s="204" t="s">
        <v>1048</v>
      </c>
      <c r="D29" s="268">
        <v>100261254</v>
      </c>
      <c r="E29" s="269">
        <v>42102</v>
      </c>
      <c r="F29" s="270">
        <v>42102</v>
      </c>
      <c r="G29" s="205">
        <v>42285</v>
      </c>
      <c r="H29" s="207">
        <v>42286</v>
      </c>
      <c r="I29" s="269">
        <v>42468</v>
      </c>
      <c r="J29" s="207">
        <v>42475</v>
      </c>
      <c r="K29" s="205">
        <v>42651</v>
      </c>
      <c r="L29" s="207">
        <v>42651</v>
      </c>
      <c r="M29" s="269">
        <v>42833</v>
      </c>
      <c r="N29" s="207">
        <v>42838</v>
      </c>
      <c r="O29" s="205">
        <v>43016</v>
      </c>
      <c r="P29" s="208">
        <v>43059</v>
      </c>
      <c r="Q29" s="269">
        <v>43198</v>
      </c>
      <c r="R29" s="207">
        <v>43297</v>
      </c>
      <c r="S29" s="205">
        <v>43381</v>
      </c>
      <c r="T29" s="208">
        <v>43423</v>
      </c>
      <c r="U29" s="209">
        <v>43558</v>
      </c>
      <c r="V29" s="210">
        <v>43537</v>
      </c>
      <c r="W29" s="209">
        <v>43739</v>
      </c>
      <c r="X29" s="210">
        <v>43756</v>
      </c>
      <c r="Y29" s="211">
        <v>43919</v>
      </c>
      <c r="Z29" s="212">
        <v>43948</v>
      </c>
      <c r="AA29" s="211">
        <v>44099</v>
      </c>
      <c r="AB29" s="212">
        <v>44172</v>
      </c>
      <c r="AC29" s="211">
        <v>44288</v>
      </c>
      <c r="AD29" s="212">
        <v>44316</v>
      </c>
      <c r="AE29" s="211">
        <v>44468</v>
      </c>
      <c r="AF29" s="212">
        <v>44743</v>
      </c>
      <c r="AG29" s="211">
        <v>44649</v>
      </c>
      <c r="AH29" s="212">
        <v>44743</v>
      </c>
      <c r="AI29" s="211">
        <v>44833</v>
      </c>
      <c r="AJ29" s="212">
        <v>44920</v>
      </c>
      <c r="AK29" s="213">
        <f t="shared" si="0"/>
        <v>87</v>
      </c>
      <c r="AL29" s="271">
        <v>45013</v>
      </c>
      <c r="AM29" s="272">
        <v>45075</v>
      </c>
      <c r="AN29" s="216">
        <f t="shared" si="1"/>
        <v>62</v>
      </c>
      <c r="AO29" s="217">
        <v>45257</v>
      </c>
      <c r="AP29" s="217">
        <v>45258</v>
      </c>
      <c r="AQ29" s="218">
        <v>45269</v>
      </c>
      <c r="AR29" s="218">
        <v>45271</v>
      </c>
      <c r="AS29" s="267">
        <f t="shared" si="4"/>
        <v>13</v>
      </c>
      <c r="AT29" s="245" t="s">
        <v>1091</v>
      </c>
      <c r="AU29" s="246">
        <v>45383</v>
      </c>
      <c r="AV29" s="262">
        <v>45386</v>
      </c>
      <c r="AW29" s="248">
        <v>3</v>
      </c>
      <c r="AX29" s="263">
        <v>45654</v>
      </c>
      <c r="AY29" s="264">
        <v>45656</v>
      </c>
      <c r="AZ29" s="264">
        <v>45664</v>
      </c>
      <c r="BA29" s="264">
        <v>45665</v>
      </c>
      <c r="BB29" s="251">
        <v>9</v>
      </c>
      <c r="BC29" s="265"/>
      <c r="BD29" s="315" t="s">
        <v>1137</v>
      </c>
      <c r="BE29" s="308">
        <v>45796</v>
      </c>
      <c r="BF29" s="302">
        <v>45803</v>
      </c>
      <c r="BG29" s="318">
        <f t="shared" si="2"/>
        <v>7</v>
      </c>
      <c r="BH29" s="319">
        <f t="shared" si="5"/>
        <v>100</v>
      </c>
      <c r="BI29" s="320"/>
    </row>
    <row r="30" spans="1:61" s="227" customFormat="1">
      <c r="A30" s="228">
        <v>26</v>
      </c>
      <c r="B30" s="257" t="s">
        <v>1092</v>
      </c>
      <c r="C30" s="230" t="s">
        <v>1048</v>
      </c>
      <c r="D30" s="257">
        <v>100261400</v>
      </c>
      <c r="E30" s="258">
        <v>42104</v>
      </c>
      <c r="F30" s="259">
        <v>42104</v>
      </c>
      <c r="G30" s="231">
        <v>42287</v>
      </c>
      <c r="H30" s="233">
        <v>42287</v>
      </c>
      <c r="I30" s="258">
        <v>42470</v>
      </c>
      <c r="J30" s="233">
        <v>42476</v>
      </c>
      <c r="K30" s="231">
        <v>42653</v>
      </c>
      <c r="L30" s="233">
        <v>42652</v>
      </c>
      <c r="M30" s="258">
        <v>42835</v>
      </c>
      <c r="N30" s="233">
        <v>42842</v>
      </c>
      <c r="O30" s="231">
        <v>43018</v>
      </c>
      <c r="P30" s="234">
        <v>43060</v>
      </c>
      <c r="Q30" s="258">
        <v>43200</v>
      </c>
      <c r="R30" s="233">
        <v>43300</v>
      </c>
      <c r="S30" s="231">
        <v>43383</v>
      </c>
      <c r="T30" s="234">
        <v>43424</v>
      </c>
      <c r="U30" s="235">
        <v>43560</v>
      </c>
      <c r="V30" s="236">
        <v>43538</v>
      </c>
      <c r="W30" s="235">
        <v>43740</v>
      </c>
      <c r="X30" s="236">
        <v>43758</v>
      </c>
      <c r="Y30" s="237">
        <v>43920</v>
      </c>
      <c r="Z30" s="238">
        <v>43949</v>
      </c>
      <c r="AA30" s="237">
        <v>44100</v>
      </c>
      <c r="AB30" s="238">
        <v>44169</v>
      </c>
      <c r="AC30" s="237">
        <v>44291</v>
      </c>
      <c r="AD30" s="238">
        <v>44320</v>
      </c>
      <c r="AE30" s="237">
        <v>44468</v>
      </c>
      <c r="AF30" s="238">
        <v>44729</v>
      </c>
      <c r="AG30" s="237">
        <v>44650</v>
      </c>
      <c r="AH30" s="238">
        <v>44729</v>
      </c>
      <c r="AI30" s="237">
        <v>44833</v>
      </c>
      <c r="AJ30" s="238">
        <v>44921</v>
      </c>
      <c r="AK30" s="239">
        <f t="shared" si="0"/>
        <v>88</v>
      </c>
      <c r="AL30" s="256">
        <v>45013</v>
      </c>
      <c r="AM30" s="260">
        <v>45075</v>
      </c>
      <c r="AN30" s="241">
        <f t="shared" si="1"/>
        <v>62</v>
      </c>
      <c r="AO30" s="242">
        <v>45259</v>
      </c>
      <c r="AP30" s="242">
        <v>45260</v>
      </c>
      <c r="AQ30" s="243">
        <v>45267</v>
      </c>
      <c r="AR30" s="243">
        <v>45268</v>
      </c>
      <c r="AS30" s="267">
        <f t="shared" si="4"/>
        <v>8</v>
      </c>
      <c r="AT30" s="245"/>
      <c r="AU30" s="246">
        <v>45384</v>
      </c>
      <c r="AV30" s="262">
        <v>45387</v>
      </c>
      <c r="AW30" s="248">
        <v>3</v>
      </c>
      <c r="AX30" s="263">
        <v>45657</v>
      </c>
      <c r="AY30" s="264">
        <v>45658</v>
      </c>
      <c r="AZ30" s="264">
        <v>45667</v>
      </c>
      <c r="BA30" s="264">
        <v>45668</v>
      </c>
      <c r="BB30" s="251">
        <v>10</v>
      </c>
      <c r="BC30" s="265" t="s">
        <v>1093</v>
      </c>
      <c r="BD30" s="315" t="s">
        <v>1138</v>
      </c>
      <c r="BE30" s="308">
        <v>45797</v>
      </c>
      <c r="BF30" s="302">
        <v>45803</v>
      </c>
      <c r="BG30" s="318">
        <f t="shared" si="2"/>
        <v>6</v>
      </c>
      <c r="BH30" s="319">
        <f t="shared" si="5"/>
        <v>100</v>
      </c>
      <c r="BI30" s="320"/>
    </row>
    <row r="31" spans="1:61" s="227" customFormat="1">
      <c r="A31" s="228">
        <v>27</v>
      </c>
      <c r="B31" s="257" t="s">
        <v>1094</v>
      </c>
      <c r="C31" s="230" t="s">
        <v>1048</v>
      </c>
      <c r="D31" s="257">
        <v>100261395</v>
      </c>
      <c r="E31" s="273">
        <v>42121</v>
      </c>
      <c r="F31" s="274">
        <v>42121</v>
      </c>
      <c r="G31" s="231">
        <v>42304</v>
      </c>
      <c r="H31" s="233">
        <v>42304</v>
      </c>
      <c r="I31" s="275">
        <v>42487</v>
      </c>
      <c r="J31" s="233">
        <v>42467</v>
      </c>
      <c r="K31" s="231">
        <v>42670</v>
      </c>
      <c r="L31" s="233">
        <v>42653</v>
      </c>
      <c r="M31" s="273">
        <v>42852</v>
      </c>
      <c r="N31" s="233">
        <v>42852</v>
      </c>
      <c r="O31" s="231">
        <v>43035</v>
      </c>
      <c r="P31" s="234">
        <v>43061</v>
      </c>
      <c r="Q31" s="273">
        <v>43217</v>
      </c>
      <c r="R31" s="233">
        <v>43298</v>
      </c>
      <c r="S31" s="231">
        <v>43400</v>
      </c>
      <c r="T31" s="234">
        <v>43429</v>
      </c>
      <c r="U31" s="235">
        <v>43577</v>
      </c>
      <c r="V31" s="236">
        <v>43540</v>
      </c>
      <c r="W31" s="235">
        <v>43741</v>
      </c>
      <c r="X31" s="236">
        <v>43759</v>
      </c>
      <c r="Y31" s="237">
        <v>43921</v>
      </c>
      <c r="Z31" s="238">
        <v>43949</v>
      </c>
      <c r="AA31" s="237">
        <v>44101</v>
      </c>
      <c r="AB31" s="238">
        <v>44174</v>
      </c>
      <c r="AC31" s="237">
        <v>44292</v>
      </c>
      <c r="AD31" s="238">
        <v>44321</v>
      </c>
      <c r="AE31" s="237">
        <v>44470</v>
      </c>
      <c r="AF31" s="238">
        <v>44742</v>
      </c>
      <c r="AG31" s="237">
        <v>44651</v>
      </c>
      <c r="AH31" s="238">
        <v>44742</v>
      </c>
      <c r="AI31" s="237">
        <v>44835</v>
      </c>
      <c r="AJ31" s="238">
        <v>44922</v>
      </c>
      <c r="AK31" s="239">
        <f t="shared" si="0"/>
        <v>87</v>
      </c>
      <c r="AL31" s="256">
        <v>45015</v>
      </c>
      <c r="AM31" s="260">
        <v>45076</v>
      </c>
      <c r="AN31" s="241">
        <f t="shared" si="1"/>
        <v>61</v>
      </c>
      <c r="AO31" s="242">
        <v>45261</v>
      </c>
      <c r="AP31" s="242">
        <v>45262</v>
      </c>
      <c r="AQ31" s="243">
        <v>45266</v>
      </c>
      <c r="AR31" s="243">
        <v>45267</v>
      </c>
      <c r="AS31" s="267">
        <f t="shared" si="4"/>
        <v>5</v>
      </c>
      <c r="AT31" s="245"/>
      <c r="AU31" s="246">
        <v>45385</v>
      </c>
      <c r="AV31" s="262">
        <v>45388</v>
      </c>
      <c r="AW31" s="248">
        <v>3</v>
      </c>
      <c r="AX31" s="263">
        <v>45659</v>
      </c>
      <c r="AY31" s="264">
        <v>45660</v>
      </c>
      <c r="AZ31" s="264">
        <v>45669</v>
      </c>
      <c r="BA31" s="264">
        <v>45670</v>
      </c>
      <c r="BB31" s="251">
        <v>10</v>
      </c>
      <c r="BC31" s="265" t="s">
        <v>1050</v>
      </c>
      <c r="BD31" s="315" t="s">
        <v>1139</v>
      </c>
      <c r="BE31" s="308">
        <v>45799</v>
      </c>
      <c r="BF31" s="302">
        <v>45804</v>
      </c>
      <c r="BG31" s="318">
        <f t="shared" si="2"/>
        <v>5</v>
      </c>
      <c r="BH31" s="319">
        <f t="shared" si="5"/>
        <v>100</v>
      </c>
      <c r="BI31" s="320"/>
    </row>
    <row r="32" spans="1:61" s="227" customFormat="1">
      <c r="A32" s="228">
        <v>28</v>
      </c>
      <c r="B32" s="257" t="s">
        <v>1095</v>
      </c>
      <c r="C32" s="230" t="s">
        <v>1053</v>
      </c>
      <c r="D32" s="257">
        <v>100261409</v>
      </c>
      <c r="E32" s="273">
        <v>42123</v>
      </c>
      <c r="F32" s="274">
        <v>42123</v>
      </c>
      <c r="G32" s="231">
        <v>42306</v>
      </c>
      <c r="H32" s="233">
        <v>42305</v>
      </c>
      <c r="I32" s="273">
        <v>42489</v>
      </c>
      <c r="J32" s="233">
        <v>42467</v>
      </c>
      <c r="K32" s="231">
        <v>42672</v>
      </c>
      <c r="L32" s="233">
        <v>42655</v>
      </c>
      <c r="M32" s="273">
        <v>42854</v>
      </c>
      <c r="N32" s="233">
        <v>42854</v>
      </c>
      <c r="O32" s="231">
        <v>43037</v>
      </c>
      <c r="P32" s="234">
        <v>43066</v>
      </c>
      <c r="Q32" s="273">
        <v>43219</v>
      </c>
      <c r="R32" s="233">
        <v>43304</v>
      </c>
      <c r="S32" s="231">
        <v>43402</v>
      </c>
      <c r="T32" s="234">
        <v>43430</v>
      </c>
      <c r="U32" s="235">
        <v>43579</v>
      </c>
      <c r="V32" s="236">
        <v>43558</v>
      </c>
      <c r="W32" s="235">
        <v>43742</v>
      </c>
      <c r="X32" s="236">
        <v>43760</v>
      </c>
      <c r="Y32" s="237">
        <v>43922</v>
      </c>
      <c r="Z32" s="238">
        <v>43950</v>
      </c>
      <c r="AA32" s="237">
        <v>44102</v>
      </c>
      <c r="AB32" s="238">
        <v>44132</v>
      </c>
      <c r="AC32" s="237">
        <v>44293</v>
      </c>
      <c r="AD32" s="238">
        <v>44301</v>
      </c>
      <c r="AE32" s="237">
        <v>44470</v>
      </c>
      <c r="AF32" s="238">
        <v>44746</v>
      </c>
      <c r="AG32" s="237">
        <v>44652</v>
      </c>
      <c r="AH32" s="238">
        <v>44746</v>
      </c>
      <c r="AI32" s="237">
        <v>44835</v>
      </c>
      <c r="AJ32" s="238">
        <v>44923</v>
      </c>
      <c r="AK32" s="239">
        <f t="shared" si="0"/>
        <v>88</v>
      </c>
      <c r="AL32" s="256">
        <v>45015</v>
      </c>
      <c r="AM32" s="260">
        <v>45076</v>
      </c>
      <c r="AN32" s="241">
        <f t="shared" si="1"/>
        <v>61</v>
      </c>
      <c r="AO32" s="242">
        <v>45263</v>
      </c>
      <c r="AP32" s="242">
        <v>45264</v>
      </c>
      <c r="AQ32" s="243">
        <v>45275</v>
      </c>
      <c r="AR32" s="243">
        <v>45274</v>
      </c>
      <c r="AS32" s="267">
        <f t="shared" si="4"/>
        <v>10</v>
      </c>
      <c r="AT32" s="245"/>
      <c r="AU32" s="246">
        <v>45386</v>
      </c>
      <c r="AV32" s="262">
        <v>45390</v>
      </c>
      <c r="AW32" s="248">
        <v>4</v>
      </c>
      <c r="AX32" s="263">
        <v>45661</v>
      </c>
      <c r="AY32" s="264">
        <v>45663</v>
      </c>
      <c r="AZ32" s="264">
        <v>45671</v>
      </c>
      <c r="BA32" s="264">
        <v>45677</v>
      </c>
      <c r="BB32" s="251">
        <v>14</v>
      </c>
      <c r="BC32" s="265" t="s">
        <v>1096</v>
      </c>
      <c r="BD32" s="315" t="s">
        <v>1140</v>
      </c>
      <c r="BE32" s="308">
        <v>45800</v>
      </c>
      <c r="BF32" s="302">
        <v>45805</v>
      </c>
      <c r="BG32" s="318">
        <f t="shared" si="2"/>
        <v>5</v>
      </c>
      <c r="BH32" s="319">
        <f t="shared" si="5"/>
        <v>100</v>
      </c>
      <c r="BI32" s="320"/>
    </row>
    <row r="33" spans="1:61" s="227" customFormat="1">
      <c r="A33" s="228">
        <v>29</v>
      </c>
      <c r="B33" s="257" t="s">
        <v>1097</v>
      </c>
      <c r="C33" s="230" t="s">
        <v>1053</v>
      </c>
      <c r="D33" s="257">
        <v>100261219</v>
      </c>
      <c r="E33" s="273">
        <v>42124</v>
      </c>
      <c r="F33" s="274">
        <v>42124</v>
      </c>
      <c r="G33" s="231">
        <v>42307</v>
      </c>
      <c r="H33" s="233">
        <v>42306</v>
      </c>
      <c r="I33" s="273">
        <v>42490</v>
      </c>
      <c r="J33" s="233">
        <v>42471</v>
      </c>
      <c r="K33" s="231">
        <v>42673</v>
      </c>
      <c r="L33" s="233">
        <v>42699</v>
      </c>
      <c r="M33" s="273">
        <v>42855</v>
      </c>
      <c r="N33" s="233">
        <v>42855</v>
      </c>
      <c r="O33" s="231">
        <v>43038</v>
      </c>
      <c r="P33" s="234">
        <v>43067</v>
      </c>
      <c r="Q33" s="273">
        <v>43220</v>
      </c>
      <c r="R33" s="233">
        <v>43305</v>
      </c>
      <c r="S33" s="231">
        <v>43403</v>
      </c>
      <c r="T33" s="234">
        <v>43431</v>
      </c>
      <c r="U33" s="235">
        <v>43580</v>
      </c>
      <c r="V33" s="236">
        <v>43559</v>
      </c>
      <c r="W33" s="235">
        <v>43743</v>
      </c>
      <c r="X33" s="236">
        <v>43761</v>
      </c>
      <c r="Y33" s="237">
        <v>43923</v>
      </c>
      <c r="Z33" s="238">
        <v>43950</v>
      </c>
      <c r="AA33" s="237">
        <v>44103</v>
      </c>
      <c r="AB33" s="238">
        <v>44167</v>
      </c>
      <c r="AC33" s="237">
        <v>44294</v>
      </c>
      <c r="AD33" s="238">
        <v>44322</v>
      </c>
      <c r="AE33" s="237">
        <v>44473</v>
      </c>
      <c r="AF33" s="238">
        <v>44745</v>
      </c>
      <c r="AG33" s="237">
        <v>44653</v>
      </c>
      <c r="AH33" s="238">
        <v>44745</v>
      </c>
      <c r="AI33" s="237">
        <v>44838</v>
      </c>
      <c r="AJ33" s="238">
        <v>44924</v>
      </c>
      <c r="AK33" s="239">
        <f t="shared" si="0"/>
        <v>86</v>
      </c>
      <c r="AL33" s="256">
        <v>45018</v>
      </c>
      <c r="AM33" s="260">
        <v>45077</v>
      </c>
      <c r="AN33" s="241">
        <f t="shared" si="1"/>
        <v>59</v>
      </c>
      <c r="AO33" s="242">
        <v>45265</v>
      </c>
      <c r="AP33" s="242">
        <v>45266</v>
      </c>
      <c r="AQ33" s="243">
        <v>45274</v>
      </c>
      <c r="AR33" s="243">
        <v>45275</v>
      </c>
      <c r="AS33" s="267">
        <f t="shared" si="4"/>
        <v>9</v>
      </c>
      <c r="AT33" s="245"/>
      <c r="AU33" s="246">
        <v>45387</v>
      </c>
      <c r="AV33" s="262">
        <v>45391</v>
      </c>
      <c r="AW33" s="248">
        <v>4</v>
      </c>
      <c r="AX33" s="263">
        <v>45664</v>
      </c>
      <c r="AY33" s="264">
        <v>45665</v>
      </c>
      <c r="AZ33" s="264">
        <v>45678</v>
      </c>
      <c r="BA33" s="264">
        <v>45679</v>
      </c>
      <c r="BB33" s="251">
        <v>14</v>
      </c>
      <c r="BC33" s="265" t="s">
        <v>1098</v>
      </c>
      <c r="BD33" s="315" t="s">
        <v>1141</v>
      </c>
      <c r="BE33" s="308">
        <v>45801</v>
      </c>
      <c r="BF33" s="302">
        <v>45806</v>
      </c>
      <c r="BG33" s="318">
        <f t="shared" si="2"/>
        <v>5</v>
      </c>
      <c r="BH33" s="319">
        <f t="shared" si="5"/>
        <v>100</v>
      </c>
      <c r="BI33" s="320"/>
    </row>
    <row r="34" spans="1:61" s="227" customFormat="1">
      <c r="A34" s="228">
        <v>30</v>
      </c>
      <c r="B34" s="257" t="s">
        <v>1099</v>
      </c>
      <c r="C34" s="230" t="s">
        <v>1048</v>
      </c>
      <c r="D34" s="257">
        <v>100261370</v>
      </c>
      <c r="E34" s="258">
        <v>42128</v>
      </c>
      <c r="F34" s="259">
        <v>42128</v>
      </c>
      <c r="G34" s="231">
        <v>42312</v>
      </c>
      <c r="H34" s="233">
        <v>42307</v>
      </c>
      <c r="I34" s="258">
        <v>42494</v>
      </c>
      <c r="J34" s="233">
        <v>42492</v>
      </c>
      <c r="K34" s="231">
        <v>42678</v>
      </c>
      <c r="L34" s="233">
        <v>42656</v>
      </c>
      <c r="M34" s="258">
        <v>42859</v>
      </c>
      <c r="N34" s="233">
        <v>42877</v>
      </c>
      <c r="O34" s="231">
        <v>43043</v>
      </c>
      <c r="P34" s="234">
        <v>43062</v>
      </c>
      <c r="Q34" s="258">
        <v>43224</v>
      </c>
      <c r="R34" s="233">
        <v>43312</v>
      </c>
      <c r="S34" s="231">
        <v>43408</v>
      </c>
      <c r="T34" s="234">
        <v>43432</v>
      </c>
      <c r="U34" s="235">
        <v>43584</v>
      </c>
      <c r="V34" s="236">
        <v>43562</v>
      </c>
      <c r="W34" s="235">
        <v>43744</v>
      </c>
      <c r="X34" s="236">
        <v>43762</v>
      </c>
      <c r="Y34" s="237">
        <v>43924</v>
      </c>
      <c r="Z34" s="238">
        <v>43951</v>
      </c>
      <c r="AA34" s="237">
        <v>44104</v>
      </c>
      <c r="AB34" s="238">
        <v>44165</v>
      </c>
      <c r="AC34" s="237">
        <v>44295</v>
      </c>
      <c r="AD34" s="238">
        <v>44323</v>
      </c>
      <c r="AE34" s="237">
        <v>44473</v>
      </c>
      <c r="AF34" s="238">
        <v>44744</v>
      </c>
      <c r="AG34" s="237">
        <v>44655</v>
      </c>
      <c r="AH34" s="238">
        <v>44744</v>
      </c>
      <c r="AI34" s="237">
        <v>44838</v>
      </c>
      <c r="AJ34" s="238">
        <v>44925</v>
      </c>
      <c r="AK34" s="239">
        <f t="shared" si="0"/>
        <v>87</v>
      </c>
      <c r="AL34" s="256">
        <v>45018</v>
      </c>
      <c r="AM34" s="260">
        <v>45077</v>
      </c>
      <c r="AN34" s="241">
        <f t="shared" si="1"/>
        <v>59</v>
      </c>
      <c r="AO34" s="242">
        <v>45267</v>
      </c>
      <c r="AP34" s="242">
        <v>45268</v>
      </c>
      <c r="AQ34" s="243">
        <v>45280</v>
      </c>
      <c r="AR34" s="243">
        <v>45279</v>
      </c>
      <c r="AS34" s="267">
        <f t="shared" si="4"/>
        <v>11</v>
      </c>
      <c r="AT34" s="245"/>
      <c r="AU34" s="246">
        <v>45388</v>
      </c>
      <c r="AV34" s="262">
        <v>45392</v>
      </c>
      <c r="AW34" s="248">
        <v>4</v>
      </c>
      <c r="AX34" s="263">
        <v>45666</v>
      </c>
      <c r="AY34" s="264">
        <v>45667</v>
      </c>
      <c r="AZ34" s="264">
        <v>45680</v>
      </c>
      <c r="BA34" s="264">
        <v>45681</v>
      </c>
      <c r="BB34" s="251">
        <v>14</v>
      </c>
      <c r="BC34" s="265" t="s">
        <v>1050</v>
      </c>
      <c r="BD34" s="315" t="s">
        <v>1142</v>
      </c>
      <c r="BE34" s="308">
        <v>45802</v>
      </c>
      <c r="BF34" s="302">
        <v>45808</v>
      </c>
      <c r="BG34" s="318">
        <f t="shared" si="2"/>
        <v>6</v>
      </c>
      <c r="BH34" s="319">
        <f t="shared" si="5"/>
        <v>100</v>
      </c>
      <c r="BI34" s="320"/>
    </row>
    <row r="35" spans="1:61" s="227" customFormat="1">
      <c r="A35" s="228">
        <v>31</v>
      </c>
      <c r="B35" s="257" t="s">
        <v>1100</v>
      </c>
      <c r="C35" s="230" t="s">
        <v>1048</v>
      </c>
      <c r="D35" s="257">
        <v>100261253</v>
      </c>
      <c r="E35" s="258">
        <v>42129</v>
      </c>
      <c r="F35" s="259">
        <v>42129</v>
      </c>
      <c r="G35" s="231">
        <v>42313</v>
      </c>
      <c r="H35" s="233">
        <v>42312</v>
      </c>
      <c r="I35" s="258">
        <v>42495</v>
      </c>
      <c r="J35" s="233">
        <v>42511</v>
      </c>
      <c r="K35" s="231">
        <v>42679</v>
      </c>
      <c r="L35" s="233">
        <v>42658</v>
      </c>
      <c r="M35" s="258">
        <v>42860</v>
      </c>
      <c r="N35" s="233">
        <v>42878</v>
      </c>
      <c r="O35" s="231">
        <v>43044</v>
      </c>
      <c r="P35" s="234">
        <v>43063</v>
      </c>
      <c r="Q35" s="258">
        <v>43225</v>
      </c>
      <c r="R35" s="233">
        <v>43306</v>
      </c>
      <c r="S35" s="231">
        <v>43409</v>
      </c>
      <c r="T35" s="234">
        <v>43434</v>
      </c>
      <c r="U35" s="235">
        <v>43585</v>
      </c>
      <c r="V35" s="236">
        <v>43561</v>
      </c>
      <c r="W35" s="235">
        <v>43745</v>
      </c>
      <c r="X35" s="236">
        <v>43763</v>
      </c>
      <c r="Y35" s="237">
        <v>43925</v>
      </c>
      <c r="Z35" s="238">
        <v>43952</v>
      </c>
      <c r="AA35" s="237">
        <v>44105</v>
      </c>
      <c r="AB35" s="238">
        <v>44135</v>
      </c>
      <c r="AC35" s="237">
        <v>44298</v>
      </c>
      <c r="AD35" s="238">
        <v>44324</v>
      </c>
      <c r="AE35" s="237">
        <v>44475</v>
      </c>
      <c r="AF35" s="238">
        <v>44719</v>
      </c>
      <c r="AG35" s="237">
        <v>44656</v>
      </c>
      <c r="AH35" s="238">
        <v>44719</v>
      </c>
      <c r="AI35" s="237">
        <v>44840</v>
      </c>
      <c r="AJ35" s="238">
        <v>44925</v>
      </c>
      <c r="AK35" s="239">
        <f t="shared" si="0"/>
        <v>85</v>
      </c>
      <c r="AL35" s="256">
        <v>45020</v>
      </c>
      <c r="AM35" s="260">
        <v>45078</v>
      </c>
      <c r="AN35" s="241">
        <f t="shared" si="1"/>
        <v>58</v>
      </c>
      <c r="AO35" s="242">
        <v>45269</v>
      </c>
      <c r="AP35" s="242">
        <v>45270</v>
      </c>
      <c r="AQ35" s="243">
        <v>45279</v>
      </c>
      <c r="AR35" s="243">
        <v>45280</v>
      </c>
      <c r="AS35" s="267">
        <f t="shared" si="4"/>
        <v>10</v>
      </c>
      <c r="AT35" s="245"/>
      <c r="AU35" s="246">
        <v>45390</v>
      </c>
      <c r="AV35" s="262">
        <v>45393</v>
      </c>
      <c r="AW35" s="248">
        <v>3</v>
      </c>
      <c r="AX35" s="263">
        <v>45668</v>
      </c>
      <c r="AY35" s="264">
        <v>45670</v>
      </c>
      <c r="AZ35" s="264">
        <v>45682</v>
      </c>
      <c r="BA35" s="264">
        <v>45684</v>
      </c>
      <c r="BB35" s="251">
        <v>14</v>
      </c>
      <c r="BC35" s="265" t="s">
        <v>1101</v>
      </c>
      <c r="BD35" s="315" t="s">
        <v>1143</v>
      </c>
      <c r="BE35" s="308">
        <v>45803</v>
      </c>
      <c r="BF35" s="302">
        <v>45809</v>
      </c>
      <c r="BG35" s="318">
        <f t="shared" si="2"/>
        <v>6</v>
      </c>
      <c r="BH35" s="319">
        <f t="shared" si="5"/>
        <v>100</v>
      </c>
      <c r="BI35" s="320"/>
    </row>
    <row r="36" spans="1:61" s="227" customFormat="1">
      <c r="A36" s="228">
        <v>32</v>
      </c>
      <c r="B36" s="257" t="s">
        <v>1102</v>
      </c>
      <c r="C36" s="230" t="s">
        <v>1048</v>
      </c>
      <c r="D36" s="257">
        <v>100261398</v>
      </c>
      <c r="E36" s="258">
        <v>42131</v>
      </c>
      <c r="F36" s="259">
        <v>42131</v>
      </c>
      <c r="G36" s="231">
        <v>42315</v>
      </c>
      <c r="H36" s="233">
        <v>42313</v>
      </c>
      <c r="I36" s="258">
        <v>42497</v>
      </c>
      <c r="J36" s="233">
        <v>42483</v>
      </c>
      <c r="K36" s="231">
        <v>42681</v>
      </c>
      <c r="L36" s="233">
        <v>42662</v>
      </c>
      <c r="M36" s="258">
        <v>42862</v>
      </c>
      <c r="N36" s="233">
        <v>42879</v>
      </c>
      <c r="O36" s="231">
        <v>43046</v>
      </c>
      <c r="P36" s="234">
        <v>43064</v>
      </c>
      <c r="Q36" s="258">
        <v>43227</v>
      </c>
      <c r="R36" s="233">
        <v>43307</v>
      </c>
      <c r="S36" s="231">
        <v>43411</v>
      </c>
      <c r="T36" s="234">
        <v>43435</v>
      </c>
      <c r="U36" s="235">
        <v>43587</v>
      </c>
      <c r="V36" s="236">
        <v>43564</v>
      </c>
      <c r="W36" s="235">
        <v>43746</v>
      </c>
      <c r="X36" s="236">
        <v>43764</v>
      </c>
      <c r="Y36" s="237">
        <v>43926</v>
      </c>
      <c r="Z36" s="238">
        <v>43953</v>
      </c>
      <c r="AA36" s="237">
        <v>44106</v>
      </c>
      <c r="AB36" s="238">
        <v>44157</v>
      </c>
      <c r="AC36" s="237">
        <v>44299</v>
      </c>
      <c r="AD36" s="238">
        <v>44325</v>
      </c>
      <c r="AE36" s="237">
        <v>44475</v>
      </c>
      <c r="AF36" s="238">
        <v>44741</v>
      </c>
      <c r="AG36" s="237">
        <v>44657</v>
      </c>
      <c r="AH36" s="238">
        <v>44741</v>
      </c>
      <c r="AI36" s="237">
        <v>44840</v>
      </c>
      <c r="AJ36" s="238">
        <v>44926</v>
      </c>
      <c r="AK36" s="239">
        <f t="shared" si="0"/>
        <v>86</v>
      </c>
      <c r="AL36" s="256">
        <v>45020</v>
      </c>
      <c r="AM36" s="260">
        <v>45078</v>
      </c>
      <c r="AN36" s="241">
        <f t="shared" si="1"/>
        <v>58</v>
      </c>
      <c r="AO36" s="242">
        <v>45271</v>
      </c>
      <c r="AP36" s="242">
        <v>45272</v>
      </c>
      <c r="AQ36" s="243">
        <v>45282</v>
      </c>
      <c r="AR36" s="243">
        <v>45281</v>
      </c>
      <c r="AS36" s="267">
        <f t="shared" si="4"/>
        <v>9</v>
      </c>
      <c r="AT36" s="245"/>
      <c r="AU36" s="246">
        <v>45391</v>
      </c>
      <c r="AV36" s="262">
        <v>45394</v>
      </c>
      <c r="AW36" s="248">
        <v>3</v>
      </c>
      <c r="AX36" s="263">
        <v>45671</v>
      </c>
      <c r="AY36" s="264">
        <v>45672</v>
      </c>
      <c r="AZ36" s="264">
        <v>45685</v>
      </c>
      <c r="BA36" s="264">
        <v>45686</v>
      </c>
      <c r="BB36" s="251">
        <v>14</v>
      </c>
      <c r="BC36" s="265" t="s">
        <v>1050</v>
      </c>
      <c r="BD36" s="315" t="s">
        <v>1144</v>
      </c>
      <c r="BE36" s="308">
        <v>45804</v>
      </c>
      <c r="BF36" s="302">
        <v>45810</v>
      </c>
      <c r="BG36" s="318">
        <f t="shared" si="2"/>
        <v>6</v>
      </c>
      <c r="BH36" s="319">
        <f t="shared" si="5"/>
        <v>100</v>
      </c>
      <c r="BI36" s="320"/>
    </row>
    <row r="37" spans="1:61" s="227" customFormat="1">
      <c r="A37" s="228">
        <v>33</v>
      </c>
      <c r="B37" s="257" t="s">
        <v>1103</v>
      </c>
      <c r="C37" s="230" t="s">
        <v>1053</v>
      </c>
      <c r="D37" s="257">
        <v>100261216</v>
      </c>
      <c r="E37" s="258">
        <v>42132</v>
      </c>
      <c r="F37" s="259">
        <v>42132</v>
      </c>
      <c r="G37" s="231">
        <v>42316</v>
      </c>
      <c r="H37" s="233">
        <v>42314</v>
      </c>
      <c r="I37" s="258">
        <v>42498</v>
      </c>
      <c r="J37" s="233">
        <v>42498</v>
      </c>
      <c r="K37" s="231">
        <v>42682</v>
      </c>
      <c r="L37" s="233">
        <v>42663</v>
      </c>
      <c r="M37" s="258">
        <v>42863</v>
      </c>
      <c r="N37" s="233">
        <v>42880</v>
      </c>
      <c r="O37" s="231">
        <v>43047</v>
      </c>
      <c r="P37" s="234">
        <v>43068</v>
      </c>
      <c r="Q37" s="258">
        <v>43228</v>
      </c>
      <c r="R37" s="233">
        <v>43308</v>
      </c>
      <c r="S37" s="231">
        <v>43412</v>
      </c>
      <c r="T37" s="234">
        <v>43436</v>
      </c>
      <c r="U37" s="235">
        <v>43588</v>
      </c>
      <c r="V37" s="236">
        <v>43606</v>
      </c>
      <c r="W37" s="235">
        <v>43747</v>
      </c>
      <c r="X37" s="236">
        <v>43766</v>
      </c>
      <c r="Y37" s="237">
        <v>43927</v>
      </c>
      <c r="Z37" s="238">
        <v>43954</v>
      </c>
      <c r="AA37" s="237">
        <v>44107</v>
      </c>
      <c r="AB37" s="238">
        <v>44186</v>
      </c>
      <c r="AC37" s="237">
        <v>44300</v>
      </c>
      <c r="AD37" s="238">
        <v>44326</v>
      </c>
      <c r="AE37" s="237">
        <v>44477</v>
      </c>
      <c r="AF37" s="238">
        <v>44738</v>
      </c>
      <c r="AG37" s="237">
        <v>44658</v>
      </c>
      <c r="AH37" s="238">
        <v>44738</v>
      </c>
      <c r="AI37" s="237">
        <v>44842</v>
      </c>
      <c r="AJ37" s="238">
        <v>44928</v>
      </c>
      <c r="AK37" s="239">
        <f t="shared" si="0"/>
        <v>86</v>
      </c>
      <c r="AL37" s="256">
        <v>45022</v>
      </c>
      <c r="AM37" s="256">
        <v>45080</v>
      </c>
      <c r="AN37" s="241">
        <f t="shared" si="1"/>
        <v>58</v>
      </c>
      <c r="AO37" s="242">
        <v>45273</v>
      </c>
      <c r="AP37" s="242">
        <v>45274</v>
      </c>
      <c r="AQ37" s="243">
        <v>45281</v>
      </c>
      <c r="AR37" s="243">
        <v>45282</v>
      </c>
      <c r="AS37" s="267">
        <f t="shared" si="4"/>
        <v>8</v>
      </c>
      <c r="AT37" s="245"/>
      <c r="AU37" s="246">
        <v>45392</v>
      </c>
      <c r="AV37" s="262">
        <v>45395</v>
      </c>
      <c r="AW37" s="248">
        <v>3</v>
      </c>
      <c r="AX37" s="263">
        <v>45673</v>
      </c>
      <c r="AY37" s="264">
        <v>45674</v>
      </c>
      <c r="AZ37" s="264">
        <v>45687</v>
      </c>
      <c r="BA37" s="264">
        <v>45688</v>
      </c>
      <c r="BB37" s="251">
        <v>14</v>
      </c>
      <c r="BC37" s="265" t="s">
        <v>1050</v>
      </c>
      <c r="BD37" s="315" t="s">
        <v>1145</v>
      </c>
      <c r="BE37" s="308">
        <v>45806</v>
      </c>
      <c r="BF37" s="302">
        <v>45813</v>
      </c>
      <c r="BG37" s="318">
        <f t="shared" si="2"/>
        <v>7</v>
      </c>
      <c r="BH37" s="319">
        <f t="shared" si="5"/>
        <v>100</v>
      </c>
      <c r="BI37" s="320"/>
    </row>
    <row r="38" spans="1:61" s="227" customFormat="1">
      <c r="A38" s="228">
        <v>34</v>
      </c>
      <c r="B38" s="257" t="s">
        <v>1104</v>
      </c>
      <c r="C38" s="230" t="s">
        <v>1048</v>
      </c>
      <c r="D38" s="257">
        <v>100261397</v>
      </c>
      <c r="E38" s="258">
        <v>42133</v>
      </c>
      <c r="F38" s="259">
        <v>42133</v>
      </c>
      <c r="G38" s="231">
        <v>42317</v>
      </c>
      <c r="H38" s="233">
        <v>42315</v>
      </c>
      <c r="I38" s="258">
        <v>42499</v>
      </c>
      <c r="J38" s="233">
        <v>42500</v>
      </c>
      <c r="K38" s="231">
        <v>42683</v>
      </c>
      <c r="L38" s="233">
        <v>42665</v>
      </c>
      <c r="M38" s="258">
        <v>42864</v>
      </c>
      <c r="N38" s="233">
        <v>42881</v>
      </c>
      <c r="O38" s="231">
        <v>43048</v>
      </c>
      <c r="P38" s="234">
        <v>43072</v>
      </c>
      <c r="Q38" s="258">
        <v>43229</v>
      </c>
      <c r="R38" s="233">
        <v>43309</v>
      </c>
      <c r="S38" s="231">
        <v>43413</v>
      </c>
      <c r="T38" s="234">
        <v>43437</v>
      </c>
      <c r="U38" s="235">
        <v>43589</v>
      </c>
      <c r="V38" s="236">
        <v>43607</v>
      </c>
      <c r="W38" s="235">
        <v>43748</v>
      </c>
      <c r="X38" s="236">
        <v>43768</v>
      </c>
      <c r="Y38" s="237">
        <v>43928</v>
      </c>
      <c r="Z38" s="238">
        <v>43955</v>
      </c>
      <c r="AA38" s="237">
        <v>44108</v>
      </c>
      <c r="AB38" s="238">
        <v>44139</v>
      </c>
      <c r="AC38" s="237">
        <v>44301</v>
      </c>
      <c r="AD38" s="238">
        <v>44327</v>
      </c>
      <c r="AE38" s="237">
        <v>44477</v>
      </c>
      <c r="AF38" s="238">
        <v>44737</v>
      </c>
      <c r="AG38" s="237">
        <v>44659</v>
      </c>
      <c r="AH38" s="238">
        <v>44737</v>
      </c>
      <c r="AI38" s="237">
        <v>44842</v>
      </c>
      <c r="AJ38" s="238">
        <v>44929</v>
      </c>
      <c r="AK38" s="239">
        <f t="shared" si="0"/>
        <v>87</v>
      </c>
      <c r="AL38" s="256">
        <v>45022</v>
      </c>
      <c r="AM38" s="256">
        <v>45080</v>
      </c>
      <c r="AN38" s="241">
        <f t="shared" si="1"/>
        <v>58</v>
      </c>
      <c r="AO38" s="242">
        <v>45275</v>
      </c>
      <c r="AP38" s="242">
        <v>45276</v>
      </c>
      <c r="AQ38" s="243">
        <v>45285</v>
      </c>
      <c r="AR38" s="243">
        <v>45283</v>
      </c>
      <c r="AS38" s="267">
        <f t="shared" si="4"/>
        <v>7</v>
      </c>
      <c r="AT38" s="245"/>
      <c r="AU38" s="246">
        <v>45393</v>
      </c>
      <c r="AV38" s="262">
        <v>45397</v>
      </c>
      <c r="AW38" s="248">
        <v>4</v>
      </c>
      <c r="AX38" s="263">
        <v>45675</v>
      </c>
      <c r="AY38" s="264">
        <v>45677</v>
      </c>
      <c r="AZ38" s="264">
        <v>45689</v>
      </c>
      <c r="BA38" s="264">
        <v>45693</v>
      </c>
      <c r="BB38" s="251">
        <v>16</v>
      </c>
      <c r="BC38" s="265" t="s">
        <v>1105</v>
      </c>
      <c r="BD38" s="315" t="s">
        <v>1146</v>
      </c>
      <c r="BE38" s="308">
        <v>45807</v>
      </c>
      <c r="BF38" s="302">
        <v>45814</v>
      </c>
      <c r="BG38" s="318">
        <f t="shared" si="2"/>
        <v>7</v>
      </c>
      <c r="BH38" s="319">
        <f t="shared" si="5"/>
        <v>100</v>
      </c>
      <c r="BI38" s="320"/>
    </row>
    <row r="39" spans="1:61" s="227" customFormat="1">
      <c r="A39" s="228">
        <v>35</v>
      </c>
      <c r="B39" s="257" t="s">
        <v>1106</v>
      </c>
      <c r="C39" s="230" t="s">
        <v>1053</v>
      </c>
      <c r="D39" s="257">
        <v>100261342</v>
      </c>
      <c r="E39" s="258">
        <v>42134</v>
      </c>
      <c r="F39" s="259">
        <v>42134</v>
      </c>
      <c r="G39" s="231">
        <v>42318</v>
      </c>
      <c r="H39" s="233">
        <v>42333</v>
      </c>
      <c r="I39" s="258">
        <v>42500</v>
      </c>
      <c r="J39" s="233">
        <v>42502</v>
      </c>
      <c r="K39" s="231">
        <v>42684</v>
      </c>
      <c r="L39" s="233">
        <v>42666</v>
      </c>
      <c r="M39" s="258">
        <v>42865</v>
      </c>
      <c r="N39" s="233">
        <v>42884</v>
      </c>
      <c r="O39" s="231">
        <v>43049</v>
      </c>
      <c r="P39" s="234">
        <v>43079</v>
      </c>
      <c r="Q39" s="258">
        <v>43230</v>
      </c>
      <c r="R39" s="233">
        <v>43314</v>
      </c>
      <c r="S39" s="231">
        <v>43414</v>
      </c>
      <c r="T39" s="234">
        <v>43438</v>
      </c>
      <c r="U39" s="235">
        <v>43590</v>
      </c>
      <c r="V39" s="236">
        <v>43611</v>
      </c>
      <c r="W39" s="235">
        <v>43749</v>
      </c>
      <c r="X39" s="236">
        <v>43769</v>
      </c>
      <c r="Y39" s="237">
        <v>43929</v>
      </c>
      <c r="Z39" s="238">
        <v>43956</v>
      </c>
      <c r="AA39" s="237">
        <v>44109</v>
      </c>
      <c r="AB39" s="238">
        <v>44155</v>
      </c>
      <c r="AC39" s="237">
        <v>44302</v>
      </c>
      <c r="AD39" s="238">
        <v>44341</v>
      </c>
      <c r="AE39" s="237">
        <v>44480</v>
      </c>
      <c r="AF39" s="238">
        <v>44734</v>
      </c>
      <c r="AG39" s="237">
        <v>44660</v>
      </c>
      <c r="AH39" s="238">
        <v>44734</v>
      </c>
      <c r="AI39" s="237">
        <v>44845</v>
      </c>
      <c r="AJ39" s="238">
        <v>44930</v>
      </c>
      <c r="AK39" s="239">
        <f t="shared" si="0"/>
        <v>85</v>
      </c>
      <c r="AL39" s="256">
        <v>45025</v>
      </c>
      <c r="AM39" s="256">
        <v>45081</v>
      </c>
      <c r="AN39" s="241">
        <f t="shared" si="1"/>
        <v>56</v>
      </c>
      <c r="AO39" s="242">
        <v>45277</v>
      </c>
      <c r="AP39" s="242">
        <v>45278</v>
      </c>
      <c r="AQ39" s="243">
        <v>45283</v>
      </c>
      <c r="AR39" s="243">
        <v>45285</v>
      </c>
      <c r="AS39" s="267">
        <f t="shared" si="4"/>
        <v>7</v>
      </c>
      <c r="AT39" s="245"/>
      <c r="AU39" s="246">
        <v>45394</v>
      </c>
      <c r="AV39" s="262">
        <v>45398</v>
      </c>
      <c r="AW39" s="248">
        <v>4</v>
      </c>
      <c r="AX39" s="263">
        <v>45678</v>
      </c>
      <c r="AY39" s="264">
        <v>45679</v>
      </c>
      <c r="AZ39" s="264">
        <v>45690</v>
      </c>
      <c r="BA39" s="264">
        <v>45692</v>
      </c>
      <c r="BB39" s="251">
        <v>13</v>
      </c>
      <c r="BC39" s="265" t="s">
        <v>1107</v>
      </c>
      <c r="BD39" s="313" t="s">
        <v>1147</v>
      </c>
      <c r="BE39" s="308">
        <v>45808</v>
      </c>
      <c r="BF39" s="302">
        <v>45815</v>
      </c>
      <c r="BG39" s="318">
        <f t="shared" si="2"/>
        <v>7</v>
      </c>
      <c r="BH39" s="319">
        <f t="shared" si="5"/>
        <v>100</v>
      </c>
      <c r="BI39" s="320"/>
    </row>
    <row r="40" spans="1:61" s="227" customFormat="1">
      <c r="A40" s="228">
        <v>36</v>
      </c>
      <c r="B40" s="257" t="s">
        <v>1108</v>
      </c>
      <c r="C40" s="230" t="s">
        <v>1048</v>
      </c>
      <c r="D40" s="257">
        <v>100261373</v>
      </c>
      <c r="E40" s="258">
        <v>42135</v>
      </c>
      <c r="F40" s="259">
        <v>42135</v>
      </c>
      <c r="G40" s="231">
        <v>42319</v>
      </c>
      <c r="H40" s="233">
        <v>42316</v>
      </c>
      <c r="I40" s="258">
        <v>42501</v>
      </c>
      <c r="J40" s="233">
        <v>42503</v>
      </c>
      <c r="K40" s="231">
        <v>42685</v>
      </c>
      <c r="L40" s="233">
        <v>42667</v>
      </c>
      <c r="M40" s="258">
        <v>42866</v>
      </c>
      <c r="N40" s="233">
        <v>42885</v>
      </c>
      <c r="O40" s="231">
        <v>43050</v>
      </c>
      <c r="P40" s="234">
        <v>43078</v>
      </c>
      <c r="Q40" s="258">
        <v>43231</v>
      </c>
      <c r="R40" s="233">
        <v>43313</v>
      </c>
      <c r="S40" s="231">
        <v>43415</v>
      </c>
      <c r="T40" s="234">
        <v>43439</v>
      </c>
      <c r="U40" s="235">
        <v>43591</v>
      </c>
      <c r="V40" s="236">
        <v>43612</v>
      </c>
      <c r="W40" s="235">
        <v>43750</v>
      </c>
      <c r="X40" s="236">
        <v>43773</v>
      </c>
      <c r="Y40" s="237">
        <v>43930</v>
      </c>
      <c r="Z40" s="238">
        <v>43957</v>
      </c>
      <c r="AA40" s="237">
        <v>44110</v>
      </c>
      <c r="AB40" s="238">
        <v>44153</v>
      </c>
      <c r="AC40" s="237">
        <v>44305</v>
      </c>
      <c r="AD40" s="238">
        <v>44342</v>
      </c>
      <c r="AE40" s="237">
        <v>44480</v>
      </c>
      <c r="AF40" s="238">
        <v>44733</v>
      </c>
      <c r="AG40" s="237">
        <v>44662</v>
      </c>
      <c r="AH40" s="238">
        <v>44733</v>
      </c>
      <c r="AI40" s="237">
        <v>44845</v>
      </c>
      <c r="AJ40" s="238">
        <v>44931</v>
      </c>
      <c r="AK40" s="239">
        <f t="shared" si="0"/>
        <v>86</v>
      </c>
      <c r="AL40" s="256">
        <v>45025</v>
      </c>
      <c r="AM40" s="256">
        <v>45082</v>
      </c>
      <c r="AN40" s="241">
        <f t="shared" si="1"/>
        <v>57</v>
      </c>
      <c r="AO40" s="242">
        <v>45279</v>
      </c>
      <c r="AP40" s="242">
        <v>45280</v>
      </c>
      <c r="AQ40" s="243">
        <v>45288</v>
      </c>
      <c r="AR40" s="243">
        <v>45289</v>
      </c>
      <c r="AS40" s="267">
        <f t="shared" si="4"/>
        <v>9</v>
      </c>
      <c r="AT40" s="245"/>
      <c r="AU40" s="246">
        <v>45395</v>
      </c>
      <c r="AV40" s="262">
        <v>45400</v>
      </c>
      <c r="AW40" s="248">
        <v>5</v>
      </c>
      <c r="AX40" s="263">
        <v>45680</v>
      </c>
      <c r="AY40" s="264">
        <v>45681</v>
      </c>
      <c r="AZ40" s="264">
        <v>45694</v>
      </c>
      <c r="BA40" s="264">
        <v>45695</v>
      </c>
      <c r="BB40" s="251">
        <v>14</v>
      </c>
      <c r="BC40" s="265" t="s">
        <v>1050</v>
      </c>
      <c r="BD40" s="313" t="s">
        <v>1148</v>
      </c>
      <c r="BE40" s="308">
        <v>45809</v>
      </c>
      <c r="BF40" s="302">
        <v>45818</v>
      </c>
      <c r="BG40" s="318">
        <f t="shared" si="2"/>
        <v>9</v>
      </c>
      <c r="BH40" s="319">
        <f t="shared" si="5"/>
        <v>100</v>
      </c>
      <c r="BI40" s="320"/>
    </row>
    <row r="41" spans="1:61" s="227" customFormat="1">
      <c r="A41" s="228">
        <v>37</v>
      </c>
      <c r="B41" s="257" t="s">
        <v>1109</v>
      </c>
      <c r="C41" s="230" t="s">
        <v>1053</v>
      </c>
      <c r="D41" s="257">
        <v>100261361</v>
      </c>
      <c r="E41" s="258">
        <v>42140</v>
      </c>
      <c r="F41" s="259">
        <v>42140</v>
      </c>
      <c r="G41" s="231">
        <v>42324</v>
      </c>
      <c r="H41" s="233">
        <v>42317</v>
      </c>
      <c r="I41" s="258">
        <v>42506</v>
      </c>
      <c r="J41" s="233">
        <v>42510</v>
      </c>
      <c r="K41" s="231">
        <v>42690</v>
      </c>
      <c r="L41" s="233">
        <v>42702</v>
      </c>
      <c r="M41" s="258">
        <v>42871</v>
      </c>
      <c r="N41" s="233">
        <v>42886</v>
      </c>
      <c r="O41" s="231">
        <v>43055</v>
      </c>
      <c r="P41" s="234">
        <v>43082</v>
      </c>
      <c r="Q41" s="258">
        <v>43236</v>
      </c>
      <c r="R41" s="233">
        <v>43311</v>
      </c>
      <c r="S41" s="231">
        <v>43420</v>
      </c>
      <c r="T41" s="234">
        <v>43440</v>
      </c>
      <c r="U41" s="235">
        <v>43596</v>
      </c>
      <c r="V41" s="236">
        <v>43613</v>
      </c>
      <c r="W41" s="235">
        <v>43751</v>
      </c>
      <c r="X41" s="236">
        <v>43771</v>
      </c>
      <c r="Y41" s="237">
        <v>43931</v>
      </c>
      <c r="Z41" s="238">
        <v>43958</v>
      </c>
      <c r="AA41" s="237">
        <v>44111</v>
      </c>
      <c r="AB41" s="238">
        <v>44146</v>
      </c>
      <c r="AC41" s="237">
        <v>44306</v>
      </c>
      <c r="AD41" s="238">
        <v>44299</v>
      </c>
      <c r="AE41" s="237">
        <v>44482</v>
      </c>
      <c r="AF41" s="238">
        <v>44731</v>
      </c>
      <c r="AG41" s="237">
        <v>44663</v>
      </c>
      <c r="AH41" s="238">
        <v>44731</v>
      </c>
      <c r="AI41" s="237">
        <v>44847</v>
      </c>
      <c r="AJ41" s="238">
        <v>44932</v>
      </c>
      <c r="AK41" s="239">
        <f t="shared" si="0"/>
        <v>85</v>
      </c>
      <c r="AL41" s="256">
        <v>45027</v>
      </c>
      <c r="AM41" s="256">
        <v>45082</v>
      </c>
      <c r="AN41" s="241">
        <f t="shared" si="1"/>
        <v>55</v>
      </c>
      <c r="AO41" s="242">
        <v>45281</v>
      </c>
      <c r="AP41" s="242">
        <v>45282</v>
      </c>
      <c r="AQ41" s="243">
        <v>45287</v>
      </c>
      <c r="AR41" s="243">
        <v>45286</v>
      </c>
      <c r="AS41" s="267">
        <f t="shared" si="4"/>
        <v>4</v>
      </c>
      <c r="AT41" s="245"/>
      <c r="AU41" s="246">
        <v>45397</v>
      </c>
      <c r="AV41" s="262">
        <v>45401</v>
      </c>
      <c r="AW41" s="248">
        <v>4</v>
      </c>
      <c r="AX41" s="263">
        <v>45682</v>
      </c>
      <c r="AY41" s="264">
        <v>45684</v>
      </c>
      <c r="AZ41" s="264">
        <v>45696</v>
      </c>
      <c r="BA41" s="264">
        <v>45698</v>
      </c>
      <c r="BB41" s="251">
        <v>14</v>
      </c>
      <c r="BC41" s="265" t="s">
        <v>1050</v>
      </c>
      <c r="BD41" s="313" t="s">
        <v>1149</v>
      </c>
      <c r="BE41" s="308">
        <v>45810</v>
      </c>
      <c r="BF41" s="302">
        <v>45819</v>
      </c>
      <c r="BG41" s="318">
        <f t="shared" si="2"/>
        <v>9</v>
      </c>
      <c r="BH41" s="319">
        <f t="shared" si="5"/>
        <v>100</v>
      </c>
      <c r="BI41" s="320" t="s">
        <v>1050</v>
      </c>
    </row>
    <row r="42" spans="1:61" s="227" customFormat="1">
      <c r="A42" s="228">
        <v>38</v>
      </c>
      <c r="B42" s="257" t="s">
        <v>1110</v>
      </c>
      <c r="C42" s="230" t="s">
        <v>1053</v>
      </c>
      <c r="D42" s="257">
        <v>100261335</v>
      </c>
      <c r="E42" s="258">
        <v>42141</v>
      </c>
      <c r="F42" s="259">
        <v>42141</v>
      </c>
      <c r="G42" s="231">
        <v>42325</v>
      </c>
      <c r="H42" s="233">
        <v>42318</v>
      </c>
      <c r="I42" s="258">
        <v>42507</v>
      </c>
      <c r="J42" s="233">
        <v>42506</v>
      </c>
      <c r="K42" s="231">
        <v>42691</v>
      </c>
      <c r="L42" s="233">
        <v>42703</v>
      </c>
      <c r="M42" s="258">
        <v>42872</v>
      </c>
      <c r="N42" s="233">
        <v>42887</v>
      </c>
      <c r="O42" s="231">
        <v>43056</v>
      </c>
      <c r="P42" s="234">
        <v>43083</v>
      </c>
      <c r="Q42" s="258">
        <v>43237</v>
      </c>
      <c r="R42" s="233">
        <v>43315</v>
      </c>
      <c r="S42" s="231">
        <v>43421</v>
      </c>
      <c r="T42" s="234">
        <v>43441</v>
      </c>
      <c r="U42" s="235">
        <v>43597</v>
      </c>
      <c r="V42" s="236">
        <v>43615</v>
      </c>
      <c r="W42" s="235">
        <v>43752</v>
      </c>
      <c r="X42" s="236">
        <v>43772</v>
      </c>
      <c r="Y42" s="237">
        <v>43932</v>
      </c>
      <c r="Z42" s="238">
        <v>43960</v>
      </c>
      <c r="AA42" s="237">
        <v>44112</v>
      </c>
      <c r="AB42" s="238">
        <v>44143</v>
      </c>
      <c r="AC42" s="237">
        <v>44307</v>
      </c>
      <c r="AD42" s="238">
        <v>44300</v>
      </c>
      <c r="AE42" s="237">
        <v>44482</v>
      </c>
      <c r="AF42" s="238">
        <v>44730</v>
      </c>
      <c r="AG42" s="237">
        <v>44664</v>
      </c>
      <c r="AH42" s="238">
        <v>44730</v>
      </c>
      <c r="AI42" s="237">
        <v>44847</v>
      </c>
      <c r="AJ42" s="238">
        <v>44933</v>
      </c>
      <c r="AK42" s="239">
        <f t="shared" si="0"/>
        <v>86</v>
      </c>
      <c r="AL42" s="256">
        <v>45027</v>
      </c>
      <c r="AM42" s="256">
        <v>45081</v>
      </c>
      <c r="AN42" s="241">
        <f t="shared" si="1"/>
        <v>54</v>
      </c>
      <c r="AO42" s="242">
        <v>45283</v>
      </c>
      <c r="AP42" s="242">
        <v>45284</v>
      </c>
      <c r="AQ42" s="243">
        <v>45286</v>
      </c>
      <c r="AR42" s="243">
        <v>45287</v>
      </c>
      <c r="AS42" s="267">
        <f t="shared" si="4"/>
        <v>3</v>
      </c>
      <c r="AT42" s="245"/>
      <c r="AU42" s="246">
        <v>45398</v>
      </c>
      <c r="AV42" s="262">
        <v>45403</v>
      </c>
      <c r="AW42" s="248">
        <v>5</v>
      </c>
      <c r="AX42" s="263">
        <v>45685</v>
      </c>
      <c r="AY42" s="264">
        <v>45686</v>
      </c>
      <c r="AZ42" s="264">
        <v>45699</v>
      </c>
      <c r="BA42" s="264">
        <v>45700</v>
      </c>
      <c r="BB42" s="251">
        <v>14</v>
      </c>
      <c r="BC42" s="265" t="s">
        <v>1050</v>
      </c>
      <c r="BD42" s="313" t="s">
        <v>1150</v>
      </c>
      <c r="BE42" s="308">
        <v>45811</v>
      </c>
      <c r="BF42" s="302">
        <v>45820</v>
      </c>
      <c r="BG42" s="318">
        <f t="shared" si="2"/>
        <v>9</v>
      </c>
      <c r="BH42" s="319">
        <f t="shared" si="5"/>
        <v>100</v>
      </c>
      <c r="BI42" s="320" t="s">
        <v>1050</v>
      </c>
    </row>
    <row r="43" spans="1:61" s="227" customFormat="1">
      <c r="A43" s="228">
        <v>39</v>
      </c>
      <c r="B43" s="257" t="s">
        <v>1111</v>
      </c>
      <c r="C43" s="230" t="s">
        <v>1048</v>
      </c>
      <c r="D43" s="257">
        <v>100261401</v>
      </c>
      <c r="E43" s="258">
        <v>42144</v>
      </c>
      <c r="F43" s="259">
        <v>42144</v>
      </c>
      <c r="G43" s="231">
        <v>42328</v>
      </c>
      <c r="H43" s="233">
        <v>42334</v>
      </c>
      <c r="I43" s="258">
        <v>42510</v>
      </c>
      <c r="J43" s="233">
        <v>42501</v>
      </c>
      <c r="K43" s="231">
        <v>42694</v>
      </c>
      <c r="L43" s="233">
        <v>42704</v>
      </c>
      <c r="M43" s="258">
        <v>42875</v>
      </c>
      <c r="N43" s="233">
        <v>42888</v>
      </c>
      <c r="O43" s="231">
        <v>43059</v>
      </c>
      <c r="P43" s="234">
        <v>43084</v>
      </c>
      <c r="Q43" s="258">
        <v>43240</v>
      </c>
      <c r="R43" s="233">
        <v>43280</v>
      </c>
      <c r="S43" s="231">
        <v>43424</v>
      </c>
      <c r="T43" s="234">
        <v>43442</v>
      </c>
      <c r="U43" s="235">
        <v>43600</v>
      </c>
      <c r="V43" s="236">
        <v>43614</v>
      </c>
      <c r="W43" s="235">
        <v>43753</v>
      </c>
      <c r="X43" s="236">
        <v>43774</v>
      </c>
      <c r="Y43" s="237">
        <v>43933</v>
      </c>
      <c r="Z43" s="238">
        <v>43961</v>
      </c>
      <c r="AA43" s="237">
        <v>44113</v>
      </c>
      <c r="AB43" s="238">
        <v>44161</v>
      </c>
      <c r="AC43" s="237">
        <v>44308</v>
      </c>
      <c r="AD43" s="238">
        <v>44343</v>
      </c>
      <c r="AE43" s="237">
        <v>44484</v>
      </c>
      <c r="AF43" s="238">
        <v>44728</v>
      </c>
      <c r="AG43" s="237">
        <v>44665</v>
      </c>
      <c r="AH43" s="238">
        <v>44728</v>
      </c>
      <c r="AI43" s="237">
        <v>44849</v>
      </c>
      <c r="AJ43" s="238">
        <v>44935</v>
      </c>
      <c r="AK43" s="239">
        <f t="shared" si="0"/>
        <v>86</v>
      </c>
      <c r="AL43" s="256">
        <v>45029</v>
      </c>
      <c r="AM43" s="256">
        <v>45079</v>
      </c>
      <c r="AN43" s="241">
        <f t="shared" si="1"/>
        <v>50</v>
      </c>
      <c r="AO43" s="242">
        <v>45285</v>
      </c>
      <c r="AP43" s="242">
        <v>45286</v>
      </c>
      <c r="AQ43" s="243">
        <v>45293</v>
      </c>
      <c r="AR43" s="243">
        <v>45291</v>
      </c>
      <c r="AS43" s="267">
        <f t="shared" si="4"/>
        <v>5</v>
      </c>
      <c r="AT43" s="245"/>
      <c r="AU43" s="246">
        <v>45399</v>
      </c>
      <c r="AV43" s="262">
        <v>45404</v>
      </c>
      <c r="AW43" s="248">
        <v>5</v>
      </c>
      <c r="AX43" s="263">
        <v>45687</v>
      </c>
      <c r="AY43" s="264">
        <v>45688</v>
      </c>
      <c r="AZ43" s="264">
        <v>45701</v>
      </c>
      <c r="BA43" s="264">
        <v>45702</v>
      </c>
      <c r="BB43" s="251">
        <v>14</v>
      </c>
      <c r="BC43" s="265" t="s">
        <v>1050</v>
      </c>
      <c r="BD43" s="313" t="s">
        <v>1151</v>
      </c>
      <c r="BE43" s="308">
        <v>45813</v>
      </c>
      <c r="BF43" s="302">
        <v>45821</v>
      </c>
      <c r="BG43" s="318">
        <f t="shared" si="2"/>
        <v>8</v>
      </c>
      <c r="BH43" s="319">
        <f t="shared" si="5"/>
        <v>100</v>
      </c>
      <c r="BI43" s="320" t="s">
        <v>1050</v>
      </c>
    </row>
    <row r="44" spans="1:61" s="227" customFormat="1" ht="15.75" thickBot="1">
      <c r="A44" s="276">
        <v>40</v>
      </c>
      <c r="B44" s="277" t="s">
        <v>1112</v>
      </c>
      <c r="C44" s="278" t="s">
        <v>1048</v>
      </c>
      <c r="D44" s="277">
        <v>100261173</v>
      </c>
      <c r="E44" s="279">
        <v>42145</v>
      </c>
      <c r="F44" s="280">
        <v>42145</v>
      </c>
      <c r="G44" s="281">
        <v>42329</v>
      </c>
      <c r="H44" s="282">
        <v>42293</v>
      </c>
      <c r="I44" s="279">
        <v>42511</v>
      </c>
      <c r="J44" s="282">
        <v>42507</v>
      </c>
      <c r="K44" s="281">
        <v>42695</v>
      </c>
      <c r="L44" s="282">
        <v>42705</v>
      </c>
      <c r="M44" s="279">
        <v>42876</v>
      </c>
      <c r="N44" s="282">
        <v>42889</v>
      </c>
      <c r="O44" s="281">
        <v>43060</v>
      </c>
      <c r="P44" s="283">
        <v>43085</v>
      </c>
      <c r="Q44" s="279">
        <v>43241</v>
      </c>
      <c r="R44" s="282">
        <v>43269</v>
      </c>
      <c r="S44" s="281">
        <v>43425</v>
      </c>
      <c r="T44" s="283">
        <v>43443</v>
      </c>
      <c r="U44" s="284">
        <v>43601</v>
      </c>
      <c r="V44" s="285">
        <v>43574</v>
      </c>
      <c r="W44" s="284">
        <v>43754</v>
      </c>
      <c r="X44" s="285">
        <v>43775</v>
      </c>
      <c r="Y44" s="286">
        <v>43934</v>
      </c>
      <c r="Z44" s="287">
        <v>43962</v>
      </c>
      <c r="AA44" s="286">
        <v>44114</v>
      </c>
      <c r="AB44" s="287">
        <v>44163</v>
      </c>
      <c r="AC44" s="286">
        <v>44309</v>
      </c>
      <c r="AD44" s="287">
        <v>44344</v>
      </c>
      <c r="AE44" s="286">
        <v>44484</v>
      </c>
      <c r="AF44" s="287">
        <v>44727</v>
      </c>
      <c r="AG44" s="286">
        <v>44666</v>
      </c>
      <c r="AH44" s="287">
        <v>44727</v>
      </c>
      <c r="AI44" s="286">
        <v>44849</v>
      </c>
      <c r="AJ44" s="287">
        <v>44934</v>
      </c>
      <c r="AK44" s="288">
        <f t="shared" si="0"/>
        <v>85</v>
      </c>
      <c r="AL44" s="289">
        <v>45029</v>
      </c>
      <c r="AM44" s="289">
        <v>45079</v>
      </c>
      <c r="AN44" s="290">
        <f t="shared" si="1"/>
        <v>50</v>
      </c>
      <c r="AO44" s="291">
        <v>45287</v>
      </c>
      <c r="AP44" s="291">
        <v>45288</v>
      </c>
      <c r="AQ44" s="292">
        <v>45289</v>
      </c>
      <c r="AR44" s="243">
        <v>45288</v>
      </c>
      <c r="AS44" s="267">
        <f t="shared" si="4"/>
        <v>0</v>
      </c>
      <c r="AT44" s="245"/>
      <c r="AU44" s="246">
        <v>45400</v>
      </c>
      <c r="AV44" s="262">
        <v>45405</v>
      </c>
      <c r="AW44" s="248">
        <v>5</v>
      </c>
      <c r="AX44" s="293">
        <v>45689</v>
      </c>
      <c r="AY44" s="294">
        <v>45690</v>
      </c>
      <c r="AZ44" s="294">
        <v>45703</v>
      </c>
      <c r="BA44" s="294">
        <v>45705</v>
      </c>
      <c r="BB44" s="295">
        <v>15</v>
      </c>
      <c r="BC44" s="296" t="s">
        <v>1113</v>
      </c>
      <c r="BD44" s="316" t="s">
        <v>1152</v>
      </c>
      <c r="BE44" s="312">
        <v>45814</v>
      </c>
      <c r="BF44" s="302">
        <v>45811</v>
      </c>
      <c r="BG44" s="327">
        <f t="shared" si="2"/>
        <v>-3</v>
      </c>
      <c r="BH44" s="328">
        <f t="shared" si="5"/>
        <v>100</v>
      </c>
      <c r="BI44" s="329"/>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52"/>
  <sheetViews>
    <sheetView workbookViewId="0">
      <pane xSplit="2" ySplit="2" topLeftCell="C139" activePane="bottomRight" state="frozen"/>
      <selection pane="topRight" activeCell="C1" sqref="C1"/>
      <selection pane="bottomLeft" activeCell="A3" sqref="A3"/>
      <selection pane="bottomRight" activeCell="B154" sqref="B154"/>
    </sheetView>
  </sheetViews>
  <sheetFormatPr defaultRowHeight="15"/>
  <cols>
    <col min="1" max="1" width="16.7109375" style="1" customWidth="1"/>
    <col min="2" max="3" width="16.7109375" customWidth="1"/>
    <col min="4" max="6" width="42.85546875" customWidth="1"/>
    <col min="7" max="7" width="16.7109375" customWidth="1"/>
  </cols>
  <sheetData>
    <row r="2" spans="1:7" s="121" customFormat="1">
      <c r="A2" s="121" t="s">
        <v>7</v>
      </c>
      <c r="B2" s="121" t="s">
        <v>73</v>
      </c>
      <c r="C2" s="121" t="s">
        <v>651</v>
      </c>
      <c r="D2" s="121" t="s">
        <v>652</v>
      </c>
      <c r="E2" s="121" t="s">
        <v>653</v>
      </c>
      <c r="F2" s="121" t="s">
        <v>654</v>
      </c>
      <c r="G2" s="121" t="s">
        <v>655</v>
      </c>
    </row>
    <row r="3" spans="1:7">
      <c r="A3" s="1">
        <v>1</v>
      </c>
      <c r="B3" s="122">
        <v>45745</v>
      </c>
      <c r="C3" t="s">
        <v>149</v>
      </c>
      <c r="D3" t="s">
        <v>670</v>
      </c>
      <c r="E3">
        <v>4</v>
      </c>
      <c r="F3" t="s">
        <v>659</v>
      </c>
    </row>
    <row r="4" spans="1:7">
      <c r="A4" s="1">
        <f t="shared" ref="A4:A36" si="0">A3+1</f>
        <v>2</v>
      </c>
      <c r="B4" s="122">
        <v>45745</v>
      </c>
      <c r="C4" t="s">
        <v>149</v>
      </c>
      <c r="D4" t="s">
        <v>672</v>
      </c>
      <c r="E4">
        <v>2</v>
      </c>
      <c r="F4" t="s">
        <v>659</v>
      </c>
    </row>
    <row r="5" spans="1:7">
      <c r="A5" s="1">
        <f t="shared" si="0"/>
        <v>3</v>
      </c>
      <c r="B5" s="122">
        <v>45746</v>
      </c>
      <c r="C5" t="s">
        <v>148</v>
      </c>
      <c r="D5" t="s">
        <v>673</v>
      </c>
      <c r="E5">
        <v>1</v>
      </c>
      <c r="F5" t="s">
        <v>659</v>
      </c>
    </row>
    <row r="6" spans="1:7">
      <c r="A6" s="1">
        <f t="shared" si="0"/>
        <v>4</v>
      </c>
      <c r="B6" s="122">
        <v>45746</v>
      </c>
      <c r="C6" t="s">
        <v>148</v>
      </c>
      <c r="D6" t="s">
        <v>674</v>
      </c>
      <c r="E6">
        <v>1</v>
      </c>
      <c r="F6" t="s">
        <v>659</v>
      </c>
    </row>
    <row r="7" spans="1:7">
      <c r="A7" s="1">
        <f t="shared" si="0"/>
        <v>5</v>
      </c>
      <c r="B7" s="122">
        <v>45746</v>
      </c>
      <c r="C7" t="s">
        <v>148</v>
      </c>
      <c r="D7" t="s">
        <v>675</v>
      </c>
      <c r="E7">
        <v>1</v>
      </c>
      <c r="F7" t="s">
        <v>659</v>
      </c>
    </row>
    <row r="8" spans="1:7">
      <c r="A8" s="1">
        <f t="shared" si="0"/>
        <v>6</v>
      </c>
      <c r="B8" s="122">
        <v>45746</v>
      </c>
      <c r="C8" t="s">
        <v>115</v>
      </c>
      <c r="D8" t="s">
        <v>673</v>
      </c>
      <c r="E8">
        <v>1</v>
      </c>
      <c r="F8" t="s">
        <v>659</v>
      </c>
    </row>
    <row r="9" spans="1:7">
      <c r="A9" s="1">
        <f t="shared" si="0"/>
        <v>7</v>
      </c>
      <c r="B9" s="122">
        <v>45748</v>
      </c>
      <c r="C9" t="s">
        <v>115</v>
      </c>
      <c r="D9" t="s">
        <v>676</v>
      </c>
      <c r="E9">
        <v>1</v>
      </c>
      <c r="F9" t="s">
        <v>659</v>
      </c>
    </row>
    <row r="10" spans="1:7">
      <c r="A10" s="1">
        <f t="shared" si="0"/>
        <v>8</v>
      </c>
      <c r="B10" s="122">
        <v>45748</v>
      </c>
      <c r="C10" t="s">
        <v>151</v>
      </c>
      <c r="D10" t="s">
        <v>656</v>
      </c>
      <c r="E10">
        <v>5</v>
      </c>
      <c r="F10" t="s">
        <v>657</v>
      </c>
    </row>
    <row r="11" spans="1:7">
      <c r="A11" s="1">
        <f t="shared" si="0"/>
        <v>9</v>
      </c>
      <c r="B11" s="122">
        <v>45748</v>
      </c>
      <c r="C11" t="s">
        <v>149</v>
      </c>
      <c r="D11" t="s">
        <v>677</v>
      </c>
      <c r="E11">
        <v>1</v>
      </c>
      <c r="F11" t="s">
        <v>659</v>
      </c>
    </row>
    <row r="12" spans="1:7">
      <c r="A12" s="1">
        <f t="shared" si="0"/>
        <v>10</v>
      </c>
      <c r="B12" s="122">
        <v>45748</v>
      </c>
      <c r="C12" t="s">
        <v>143</v>
      </c>
      <c r="D12" t="s">
        <v>678</v>
      </c>
      <c r="E12">
        <v>1</v>
      </c>
      <c r="F12" t="s">
        <v>659</v>
      </c>
    </row>
    <row r="13" spans="1:7">
      <c r="A13" s="1">
        <f t="shared" si="0"/>
        <v>11</v>
      </c>
      <c r="B13" s="122">
        <v>45750</v>
      </c>
      <c r="C13" t="s">
        <v>145</v>
      </c>
      <c r="D13" t="s">
        <v>679</v>
      </c>
      <c r="E13">
        <v>1</v>
      </c>
      <c r="F13" t="s">
        <v>659</v>
      </c>
    </row>
    <row r="14" spans="1:7">
      <c r="A14" s="1">
        <f t="shared" si="0"/>
        <v>12</v>
      </c>
      <c r="B14" s="122">
        <v>45750</v>
      </c>
      <c r="C14" t="s">
        <v>146</v>
      </c>
      <c r="D14" t="s">
        <v>680</v>
      </c>
      <c r="E14">
        <v>1</v>
      </c>
      <c r="F14" t="s">
        <v>659</v>
      </c>
    </row>
    <row r="15" spans="1:7">
      <c r="A15" s="1">
        <f t="shared" si="0"/>
        <v>13</v>
      </c>
      <c r="B15" s="122">
        <v>45751</v>
      </c>
      <c r="C15" t="s">
        <v>122</v>
      </c>
      <c r="D15" t="s">
        <v>663</v>
      </c>
      <c r="E15">
        <v>1</v>
      </c>
      <c r="F15" t="s">
        <v>659</v>
      </c>
    </row>
    <row r="16" spans="1:7">
      <c r="A16" s="1">
        <f t="shared" si="0"/>
        <v>14</v>
      </c>
      <c r="B16" s="122">
        <v>45754</v>
      </c>
      <c r="C16" t="s">
        <v>146</v>
      </c>
      <c r="D16" t="s">
        <v>660</v>
      </c>
      <c r="E16">
        <v>1</v>
      </c>
      <c r="F16" t="s">
        <v>658</v>
      </c>
    </row>
    <row r="17" spans="1:6">
      <c r="A17" s="1">
        <f t="shared" si="0"/>
        <v>15</v>
      </c>
      <c r="B17" s="122">
        <v>45754</v>
      </c>
      <c r="C17" t="s">
        <v>146</v>
      </c>
      <c r="D17" t="s">
        <v>666</v>
      </c>
      <c r="E17">
        <v>15</v>
      </c>
      <c r="F17" t="s">
        <v>657</v>
      </c>
    </row>
    <row r="18" spans="1:6">
      <c r="A18" s="1">
        <f t="shared" si="0"/>
        <v>16</v>
      </c>
      <c r="B18" s="122">
        <v>45756</v>
      </c>
      <c r="C18" t="s">
        <v>123</v>
      </c>
      <c r="D18" t="s">
        <v>668</v>
      </c>
      <c r="E18">
        <v>1</v>
      </c>
      <c r="F18" t="s">
        <v>659</v>
      </c>
    </row>
    <row r="19" spans="1:6">
      <c r="A19" s="1">
        <f t="shared" si="0"/>
        <v>17</v>
      </c>
      <c r="B19" s="122">
        <v>45756</v>
      </c>
      <c r="C19" t="s">
        <v>123</v>
      </c>
      <c r="D19" t="s">
        <v>681</v>
      </c>
      <c r="E19">
        <v>1</v>
      </c>
      <c r="F19" t="s">
        <v>659</v>
      </c>
    </row>
    <row r="20" spans="1:6">
      <c r="A20" s="1">
        <f t="shared" si="0"/>
        <v>18</v>
      </c>
      <c r="B20" s="122">
        <v>45756</v>
      </c>
      <c r="C20" t="s">
        <v>118</v>
      </c>
      <c r="D20" t="s">
        <v>662</v>
      </c>
      <c r="E20">
        <v>1</v>
      </c>
      <c r="F20" t="s">
        <v>659</v>
      </c>
    </row>
    <row r="21" spans="1:6">
      <c r="A21" s="1">
        <f t="shared" si="0"/>
        <v>19</v>
      </c>
      <c r="B21" s="122">
        <v>45757</v>
      </c>
      <c r="C21" t="s">
        <v>128</v>
      </c>
      <c r="D21" t="s">
        <v>660</v>
      </c>
      <c r="E21">
        <v>1</v>
      </c>
      <c r="F21" t="s">
        <v>658</v>
      </c>
    </row>
    <row r="22" spans="1:6">
      <c r="A22" s="1">
        <f t="shared" si="0"/>
        <v>20</v>
      </c>
      <c r="B22" s="122">
        <v>45757</v>
      </c>
      <c r="C22" t="s">
        <v>117</v>
      </c>
      <c r="D22" t="s">
        <v>671</v>
      </c>
      <c r="E22">
        <v>1</v>
      </c>
      <c r="F22" t="s">
        <v>659</v>
      </c>
    </row>
    <row r="23" spans="1:6">
      <c r="A23" s="1">
        <f t="shared" si="0"/>
        <v>21</v>
      </c>
      <c r="B23" s="122">
        <v>45758</v>
      </c>
      <c r="C23" t="s">
        <v>132</v>
      </c>
      <c r="D23" t="s">
        <v>682</v>
      </c>
      <c r="E23">
        <v>1</v>
      </c>
      <c r="F23" t="s">
        <v>658</v>
      </c>
    </row>
    <row r="24" spans="1:6">
      <c r="A24" s="1">
        <f t="shared" si="0"/>
        <v>22</v>
      </c>
      <c r="B24" s="122">
        <v>45760</v>
      </c>
      <c r="C24" t="s">
        <v>139</v>
      </c>
      <c r="D24" t="s">
        <v>671</v>
      </c>
      <c r="E24">
        <v>1</v>
      </c>
      <c r="F24" t="s">
        <v>659</v>
      </c>
    </row>
    <row r="25" spans="1:6">
      <c r="A25" s="1">
        <f t="shared" si="0"/>
        <v>23</v>
      </c>
      <c r="B25" s="122">
        <v>45762</v>
      </c>
      <c r="C25" t="s">
        <v>152</v>
      </c>
      <c r="D25" t="s">
        <v>660</v>
      </c>
      <c r="E25">
        <v>1</v>
      </c>
      <c r="F25" t="s">
        <v>658</v>
      </c>
    </row>
    <row r="26" spans="1:6">
      <c r="A26" s="1">
        <f t="shared" si="0"/>
        <v>24</v>
      </c>
      <c r="B26" s="122">
        <v>45762</v>
      </c>
      <c r="C26" t="s">
        <v>152</v>
      </c>
      <c r="D26" t="s">
        <v>683</v>
      </c>
      <c r="E26">
        <v>1</v>
      </c>
      <c r="F26" t="s">
        <v>659</v>
      </c>
    </row>
    <row r="27" spans="1:6">
      <c r="A27" s="1">
        <f t="shared" si="0"/>
        <v>25</v>
      </c>
      <c r="B27" s="122">
        <v>45762</v>
      </c>
      <c r="C27" t="s">
        <v>152</v>
      </c>
      <c r="D27" t="s">
        <v>665</v>
      </c>
      <c r="E27">
        <v>1</v>
      </c>
      <c r="F27" t="s">
        <v>659</v>
      </c>
    </row>
    <row r="28" spans="1:6">
      <c r="A28" s="1">
        <f t="shared" si="0"/>
        <v>26</v>
      </c>
      <c r="B28" s="122">
        <v>45764</v>
      </c>
      <c r="C28" t="s">
        <v>129</v>
      </c>
      <c r="D28" t="s">
        <v>667</v>
      </c>
      <c r="E28">
        <v>1</v>
      </c>
      <c r="F28" t="s">
        <v>659</v>
      </c>
    </row>
    <row r="29" spans="1:6">
      <c r="A29" s="1">
        <f t="shared" si="0"/>
        <v>27</v>
      </c>
      <c r="B29" s="122">
        <v>45766</v>
      </c>
      <c r="C29" t="s">
        <v>137</v>
      </c>
      <c r="D29" t="s">
        <v>683</v>
      </c>
      <c r="E29">
        <v>1</v>
      </c>
      <c r="F29" t="s">
        <v>659</v>
      </c>
    </row>
    <row r="30" spans="1:6">
      <c r="A30" s="1">
        <f t="shared" si="0"/>
        <v>28</v>
      </c>
      <c r="B30" s="122">
        <v>45766</v>
      </c>
      <c r="C30" t="s">
        <v>137</v>
      </c>
      <c r="D30" t="s">
        <v>660</v>
      </c>
      <c r="E30">
        <v>1</v>
      </c>
      <c r="F30" t="s">
        <v>659</v>
      </c>
    </row>
    <row r="31" spans="1:6">
      <c r="A31" s="1">
        <f t="shared" si="0"/>
        <v>29</v>
      </c>
      <c r="B31" s="122">
        <v>45766</v>
      </c>
      <c r="C31" t="s">
        <v>137</v>
      </c>
      <c r="D31" t="s">
        <v>664</v>
      </c>
      <c r="E31">
        <v>10</v>
      </c>
      <c r="F31" t="s">
        <v>657</v>
      </c>
    </row>
    <row r="32" spans="1:6">
      <c r="A32" s="1">
        <f t="shared" si="0"/>
        <v>30</v>
      </c>
      <c r="B32" s="122">
        <v>45768</v>
      </c>
      <c r="C32" t="s">
        <v>130</v>
      </c>
      <c r="D32" t="s">
        <v>684</v>
      </c>
      <c r="E32">
        <v>3</v>
      </c>
      <c r="F32" t="s">
        <v>659</v>
      </c>
    </row>
    <row r="33" spans="1:6">
      <c r="A33" s="1">
        <f t="shared" si="0"/>
        <v>31</v>
      </c>
      <c r="B33" s="122">
        <v>45768</v>
      </c>
      <c r="C33" t="s">
        <v>130</v>
      </c>
      <c r="D33" t="s">
        <v>685</v>
      </c>
      <c r="E33">
        <v>7</v>
      </c>
      <c r="F33" t="s">
        <v>659</v>
      </c>
    </row>
    <row r="34" spans="1:6">
      <c r="A34" s="1">
        <f t="shared" si="0"/>
        <v>32</v>
      </c>
      <c r="B34" s="122">
        <v>45769</v>
      </c>
      <c r="C34" t="s">
        <v>145</v>
      </c>
      <c r="D34" t="s">
        <v>686</v>
      </c>
      <c r="E34">
        <v>3</v>
      </c>
      <c r="F34" t="s">
        <v>659</v>
      </c>
    </row>
    <row r="35" spans="1:6">
      <c r="A35" s="1">
        <f t="shared" si="0"/>
        <v>33</v>
      </c>
      <c r="B35" s="122">
        <v>45769</v>
      </c>
      <c r="C35" t="s">
        <v>127</v>
      </c>
      <c r="D35" t="s">
        <v>668</v>
      </c>
      <c r="E35">
        <v>1</v>
      </c>
      <c r="F35" t="s">
        <v>659</v>
      </c>
    </row>
    <row r="36" spans="1:6">
      <c r="A36" s="1">
        <f t="shared" si="0"/>
        <v>34</v>
      </c>
      <c r="B36" s="122">
        <v>45770</v>
      </c>
      <c r="C36" t="s">
        <v>138</v>
      </c>
      <c r="D36" t="s">
        <v>686</v>
      </c>
      <c r="E36">
        <v>3</v>
      </c>
      <c r="F36" t="s">
        <v>659</v>
      </c>
    </row>
    <row r="37" spans="1:6">
      <c r="A37" s="1">
        <f t="shared" ref="A37:A100" si="1">A36+1</f>
        <v>35</v>
      </c>
      <c r="B37" s="122">
        <v>45771</v>
      </c>
      <c r="C37" t="s">
        <v>139</v>
      </c>
      <c r="D37" t="s">
        <v>686</v>
      </c>
      <c r="E37">
        <v>3</v>
      </c>
      <c r="F37" t="s">
        <v>659</v>
      </c>
    </row>
    <row r="38" spans="1:6">
      <c r="A38" s="1">
        <f t="shared" si="1"/>
        <v>36</v>
      </c>
      <c r="B38" s="122">
        <v>45771</v>
      </c>
      <c r="C38" t="s">
        <v>153</v>
      </c>
      <c r="D38" t="s">
        <v>686</v>
      </c>
      <c r="E38">
        <v>5</v>
      </c>
      <c r="F38" t="s">
        <v>659</v>
      </c>
    </row>
    <row r="39" spans="1:6">
      <c r="A39" s="1">
        <f t="shared" si="1"/>
        <v>37</v>
      </c>
      <c r="B39" s="122">
        <v>45772</v>
      </c>
      <c r="C39" t="s">
        <v>133</v>
      </c>
      <c r="D39" t="s">
        <v>669</v>
      </c>
      <c r="E39">
        <v>1</v>
      </c>
      <c r="F39" t="s">
        <v>659</v>
      </c>
    </row>
    <row r="40" spans="1:6">
      <c r="A40" s="1">
        <f t="shared" si="1"/>
        <v>38</v>
      </c>
      <c r="B40" s="122">
        <v>45772</v>
      </c>
      <c r="C40" t="s">
        <v>126</v>
      </c>
      <c r="D40" t="s">
        <v>687</v>
      </c>
      <c r="E40">
        <v>1</v>
      </c>
      <c r="F40" t="s">
        <v>659</v>
      </c>
    </row>
    <row r="41" spans="1:6">
      <c r="A41" s="1">
        <f t="shared" si="1"/>
        <v>39</v>
      </c>
      <c r="B41" s="122">
        <v>45772</v>
      </c>
      <c r="C41" t="s">
        <v>152</v>
      </c>
      <c r="D41" t="s">
        <v>660</v>
      </c>
      <c r="E41">
        <v>1</v>
      </c>
      <c r="F41" t="s">
        <v>659</v>
      </c>
    </row>
    <row r="42" spans="1:6">
      <c r="A42" s="1">
        <f t="shared" si="1"/>
        <v>40</v>
      </c>
      <c r="B42" s="122">
        <v>45773</v>
      </c>
      <c r="C42" t="s">
        <v>120</v>
      </c>
      <c r="D42" t="s">
        <v>686</v>
      </c>
      <c r="E42">
        <v>3</v>
      </c>
      <c r="F42" t="s">
        <v>659</v>
      </c>
    </row>
    <row r="43" spans="1:6">
      <c r="A43" s="1">
        <f t="shared" si="1"/>
        <v>41</v>
      </c>
      <c r="B43" s="122">
        <v>45775</v>
      </c>
      <c r="C43" t="s">
        <v>134</v>
      </c>
      <c r="D43" t="s">
        <v>688</v>
      </c>
      <c r="E43">
        <v>1</v>
      </c>
      <c r="F43" t="s">
        <v>659</v>
      </c>
    </row>
    <row r="44" spans="1:6">
      <c r="A44" s="1">
        <f t="shared" si="1"/>
        <v>42</v>
      </c>
      <c r="B44" s="122">
        <v>45776</v>
      </c>
      <c r="C44" t="s">
        <v>121</v>
      </c>
      <c r="D44" t="s">
        <v>689</v>
      </c>
      <c r="E44">
        <v>1</v>
      </c>
      <c r="F44" t="s">
        <v>659</v>
      </c>
    </row>
    <row r="45" spans="1:6">
      <c r="A45" s="1">
        <f t="shared" si="1"/>
        <v>43</v>
      </c>
      <c r="B45" s="122">
        <v>45776</v>
      </c>
      <c r="C45" t="s">
        <v>136</v>
      </c>
      <c r="D45" t="s">
        <v>690</v>
      </c>
      <c r="E45">
        <v>1</v>
      </c>
      <c r="F45" t="s">
        <v>659</v>
      </c>
    </row>
    <row r="46" spans="1:6">
      <c r="A46" s="1">
        <f t="shared" si="1"/>
        <v>44</v>
      </c>
      <c r="B46" s="122">
        <v>45776</v>
      </c>
      <c r="C46" t="s">
        <v>136</v>
      </c>
      <c r="D46" t="s">
        <v>671</v>
      </c>
      <c r="E46">
        <v>1</v>
      </c>
      <c r="F46" t="s">
        <v>659</v>
      </c>
    </row>
    <row r="47" spans="1:6">
      <c r="A47" s="1">
        <f t="shared" si="1"/>
        <v>45</v>
      </c>
      <c r="B47" s="122">
        <v>45776</v>
      </c>
      <c r="C47" t="s">
        <v>118</v>
      </c>
      <c r="D47" t="s">
        <v>691</v>
      </c>
      <c r="E47">
        <v>2</v>
      </c>
      <c r="F47" t="s">
        <v>659</v>
      </c>
    </row>
    <row r="48" spans="1:6">
      <c r="A48" s="1">
        <f t="shared" si="1"/>
        <v>46</v>
      </c>
      <c r="B48" s="122">
        <v>45776</v>
      </c>
      <c r="C48" t="s">
        <v>118</v>
      </c>
      <c r="D48" t="s">
        <v>692</v>
      </c>
      <c r="E48">
        <v>2</v>
      </c>
      <c r="F48" t="s">
        <v>659</v>
      </c>
    </row>
    <row r="49" spans="1:6">
      <c r="A49" s="1">
        <f t="shared" si="1"/>
        <v>47</v>
      </c>
      <c r="B49" s="122">
        <v>45777</v>
      </c>
      <c r="C49" t="s">
        <v>121</v>
      </c>
      <c r="D49" t="s">
        <v>660</v>
      </c>
      <c r="E49">
        <v>1</v>
      </c>
      <c r="F49" t="s">
        <v>658</v>
      </c>
    </row>
    <row r="50" spans="1:6">
      <c r="A50" s="1">
        <f t="shared" si="1"/>
        <v>48</v>
      </c>
      <c r="B50" s="122">
        <v>45777</v>
      </c>
      <c r="C50" t="s">
        <v>136</v>
      </c>
      <c r="D50" t="s">
        <v>693</v>
      </c>
      <c r="E50">
        <v>1</v>
      </c>
      <c r="F50" t="s">
        <v>659</v>
      </c>
    </row>
    <row r="51" spans="1:6">
      <c r="A51" s="1">
        <f t="shared" si="1"/>
        <v>49</v>
      </c>
      <c r="B51" s="122">
        <v>45777</v>
      </c>
      <c r="C51" t="s">
        <v>136</v>
      </c>
      <c r="D51" t="s">
        <v>694</v>
      </c>
      <c r="E51">
        <v>1</v>
      </c>
      <c r="F51" t="s">
        <v>659</v>
      </c>
    </row>
    <row r="52" spans="1:6">
      <c r="A52" s="1">
        <f t="shared" si="1"/>
        <v>50</v>
      </c>
      <c r="B52" s="122">
        <v>45779</v>
      </c>
      <c r="C52" t="s">
        <v>121</v>
      </c>
      <c r="D52" t="s">
        <v>660</v>
      </c>
      <c r="E52">
        <v>1</v>
      </c>
      <c r="F52" t="s">
        <v>658</v>
      </c>
    </row>
    <row r="53" spans="1:6">
      <c r="A53" s="1">
        <f t="shared" si="1"/>
        <v>51</v>
      </c>
      <c r="B53" s="122">
        <v>45779</v>
      </c>
      <c r="C53" t="s">
        <v>121</v>
      </c>
      <c r="D53" t="s">
        <v>664</v>
      </c>
      <c r="E53">
        <v>15</v>
      </c>
      <c r="F53" t="s">
        <v>657</v>
      </c>
    </row>
    <row r="54" spans="1:6">
      <c r="A54" s="1">
        <f t="shared" si="1"/>
        <v>52</v>
      </c>
      <c r="B54" s="122">
        <v>45779</v>
      </c>
      <c r="C54" t="s">
        <v>132</v>
      </c>
      <c r="D54" t="s">
        <v>684</v>
      </c>
      <c r="E54">
        <v>3</v>
      </c>
      <c r="F54" t="s">
        <v>659</v>
      </c>
    </row>
    <row r="55" spans="1:6">
      <c r="A55" s="1">
        <f t="shared" si="1"/>
        <v>53</v>
      </c>
      <c r="B55" s="122">
        <v>45779</v>
      </c>
      <c r="C55" t="s">
        <v>132</v>
      </c>
      <c r="D55" t="s">
        <v>685</v>
      </c>
      <c r="E55">
        <v>8</v>
      </c>
      <c r="F55" t="s">
        <v>659</v>
      </c>
    </row>
    <row r="56" spans="1:6">
      <c r="A56" s="1">
        <f t="shared" si="1"/>
        <v>54</v>
      </c>
      <c r="B56" s="122">
        <v>45780</v>
      </c>
      <c r="C56" t="s">
        <v>133</v>
      </c>
      <c r="D56" t="s">
        <v>660</v>
      </c>
      <c r="E56">
        <v>1</v>
      </c>
      <c r="F56" t="s">
        <v>658</v>
      </c>
    </row>
    <row r="57" spans="1:6">
      <c r="A57" s="1">
        <f t="shared" si="1"/>
        <v>55</v>
      </c>
      <c r="B57" s="122">
        <v>45782</v>
      </c>
      <c r="C57" t="s">
        <v>115</v>
      </c>
      <c r="D57" t="s">
        <v>695</v>
      </c>
      <c r="E57">
        <v>2</v>
      </c>
      <c r="F57" t="s">
        <v>658</v>
      </c>
    </row>
    <row r="58" spans="1:6">
      <c r="A58" s="1">
        <f t="shared" si="1"/>
        <v>56</v>
      </c>
      <c r="B58" s="122">
        <v>45783</v>
      </c>
      <c r="C58" t="s">
        <v>139</v>
      </c>
      <c r="D58" t="s">
        <v>696</v>
      </c>
      <c r="E58">
        <v>1</v>
      </c>
      <c r="F58" t="s">
        <v>659</v>
      </c>
    </row>
    <row r="59" spans="1:6">
      <c r="A59" s="1">
        <f t="shared" si="1"/>
        <v>57</v>
      </c>
      <c r="B59" s="122">
        <v>45783</v>
      </c>
      <c r="C59" t="s">
        <v>139</v>
      </c>
      <c r="D59" t="s">
        <v>664</v>
      </c>
      <c r="E59">
        <v>22</v>
      </c>
      <c r="F59" t="s">
        <v>657</v>
      </c>
    </row>
    <row r="60" spans="1:6">
      <c r="A60" s="1">
        <f t="shared" si="1"/>
        <v>58</v>
      </c>
      <c r="B60" s="122">
        <v>45785</v>
      </c>
      <c r="C60" t="s">
        <v>136</v>
      </c>
      <c r="D60" t="s">
        <v>697</v>
      </c>
      <c r="E60">
        <v>1</v>
      </c>
      <c r="F60" t="s">
        <v>659</v>
      </c>
    </row>
    <row r="61" spans="1:6">
      <c r="A61" s="1">
        <f t="shared" si="1"/>
        <v>59</v>
      </c>
      <c r="B61" s="122">
        <v>45785</v>
      </c>
      <c r="C61" t="s">
        <v>136</v>
      </c>
      <c r="D61" t="s">
        <v>698</v>
      </c>
      <c r="E61">
        <v>1</v>
      </c>
      <c r="F61" t="s">
        <v>659</v>
      </c>
    </row>
    <row r="62" spans="1:6">
      <c r="A62" s="1">
        <f t="shared" si="1"/>
        <v>60</v>
      </c>
      <c r="B62" s="122">
        <v>45785</v>
      </c>
      <c r="C62" t="s">
        <v>150</v>
      </c>
      <c r="D62" t="s">
        <v>660</v>
      </c>
      <c r="E62">
        <v>1</v>
      </c>
      <c r="F62" t="s">
        <v>659</v>
      </c>
    </row>
    <row r="63" spans="1:6">
      <c r="A63" s="1">
        <f t="shared" si="1"/>
        <v>61</v>
      </c>
      <c r="B63" s="122">
        <v>45786</v>
      </c>
      <c r="C63" t="s">
        <v>150</v>
      </c>
      <c r="D63" t="s">
        <v>699</v>
      </c>
      <c r="E63">
        <v>1</v>
      </c>
      <c r="F63" t="s">
        <v>659</v>
      </c>
    </row>
    <row r="64" spans="1:6">
      <c r="A64" s="1">
        <f t="shared" si="1"/>
        <v>62</v>
      </c>
      <c r="B64" s="122">
        <v>45786</v>
      </c>
      <c r="C64" t="s">
        <v>150</v>
      </c>
      <c r="D64" t="s">
        <v>700</v>
      </c>
      <c r="E64">
        <v>1</v>
      </c>
      <c r="F64" t="s">
        <v>659</v>
      </c>
    </row>
    <row r="65" spans="1:6">
      <c r="A65" s="1">
        <f t="shared" si="1"/>
        <v>63</v>
      </c>
      <c r="B65" s="122">
        <v>45787</v>
      </c>
      <c r="C65" t="s">
        <v>118</v>
      </c>
      <c r="D65" t="s">
        <v>701</v>
      </c>
      <c r="E65">
        <v>1</v>
      </c>
      <c r="F65" t="s">
        <v>659</v>
      </c>
    </row>
    <row r="66" spans="1:6">
      <c r="A66" s="1">
        <f t="shared" si="1"/>
        <v>64</v>
      </c>
      <c r="B66" s="122">
        <v>45787</v>
      </c>
      <c r="C66" t="s">
        <v>118</v>
      </c>
      <c r="D66" t="s">
        <v>702</v>
      </c>
      <c r="E66">
        <v>1</v>
      </c>
      <c r="F66" t="s">
        <v>659</v>
      </c>
    </row>
    <row r="67" spans="1:6">
      <c r="A67" s="1">
        <f t="shared" si="1"/>
        <v>65</v>
      </c>
      <c r="B67" s="122">
        <v>45787</v>
      </c>
      <c r="C67" t="s">
        <v>123</v>
      </c>
      <c r="D67" t="s">
        <v>703</v>
      </c>
      <c r="E67">
        <v>1</v>
      </c>
      <c r="F67" t="s">
        <v>659</v>
      </c>
    </row>
    <row r="68" spans="1:6">
      <c r="A68" s="1">
        <f t="shared" si="1"/>
        <v>66</v>
      </c>
      <c r="B68" s="122">
        <v>45788</v>
      </c>
      <c r="C68" t="s">
        <v>137</v>
      </c>
      <c r="D68" t="s">
        <v>1004</v>
      </c>
      <c r="E68">
        <v>1</v>
      </c>
      <c r="F68" t="s">
        <v>659</v>
      </c>
    </row>
    <row r="69" spans="1:6">
      <c r="A69" s="1">
        <f t="shared" si="1"/>
        <v>67</v>
      </c>
      <c r="B69" s="122">
        <v>45788</v>
      </c>
      <c r="C69" t="s">
        <v>137</v>
      </c>
      <c r="D69" t="s">
        <v>704</v>
      </c>
      <c r="E69">
        <v>1</v>
      </c>
      <c r="F69" t="s">
        <v>659</v>
      </c>
    </row>
    <row r="70" spans="1:6">
      <c r="A70" s="1">
        <f t="shared" si="1"/>
        <v>68</v>
      </c>
      <c r="B70" s="122">
        <v>45788</v>
      </c>
      <c r="C70" t="s">
        <v>135</v>
      </c>
      <c r="D70" t="s">
        <v>705</v>
      </c>
      <c r="E70">
        <v>1</v>
      </c>
      <c r="F70" t="s">
        <v>659</v>
      </c>
    </row>
    <row r="71" spans="1:6">
      <c r="A71" s="1">
        <f t="shared" si="1"/>
        <v>69</v>
      </c>
      <c r="B71" s="122">
        <v>45789</v>
      </c>
      <c r="C71" t="s">
        <v>137</v>
      </c>
      <c r="D71" t="s">
        <v>704</v>
      </c>
      <c r="E71">
        <v>1</v>
      </c>
      <c r="F71" t="s">
        <v>659</v>
      </c>
    </row>
    <row r="72" spans="1:6">
      <c r="A72" s="1">
        <f t="shared" si="1"/>
        <v>70</v>
      </c>
      <c r="B72" s="122">
        <v>45789</v>
      </c>
      <c r="C72" t="s">
        <v>118</v>
      </c>
      <c r="D72" t="s">
        <v>706</v>
      </c>
      <c r="E72">
        <v>1</v>
      </c>
      <c r="F72" t="s">
        <v>659</v>
      </c>
    </row>
    <row r="73" spans="1:6">
      <c r="A73" s="1">
        <f t="shared" si="1"/>
        <v>71</v>
      </c>
      <c r="B73" s="122">
        <v>45791</v>
      </c>
      <c r="C73" t="s">
        <v>128</v>
      </c>
      <c r="D73" t="s">
        <v>707</v>
      </c>
      <c r="E73">
        <v>3</v>
      </c>
      <c r="F73" t="s">
        <v>659</v>
      </c>
    </row>
    <row r="74" spans="1:6">
      <c r="A74" s="1">
        <f t="shared" si="1"/>
        <v>72</v>
      </c>
      <c r="B74" s="122">
        <v>45791</v>
      </c>
      <c r="C74" t="s">
        <v>128</v>
      </c>
      <c r="D74" t="s">
        <v>661</v>
      </c>
      <c r="E74">
        <v>3</v>
      </c>
      <c r="F74" t="s">
        <v>659</v>
      </c>
    </row>
    <row r="75" spans="1:6">
      <c r="A75" s="1">
        <f t="shared" si="1"/>
        <v>73</v>
      </c>
      <c r="B75" s="122">
        <v>45791</v>
      </c>
      <c r="C75" t="s">
        <v>128</v>
      </c>
      <c r="D75" t="s">
        <v>708</v>
      </c>
      <c r="E75">
        <v>2</v>
      </c>
      <c r="F75" t="s">
        <v>659</v>
      </c>
    </row>
    <row r="76" spans="1:6">
      <c r="A76" s="1">
        <f t="shared" si="1"/>
        <v>74</v>
      </c>
      <c r="B76" s="122">
        <v>45791</v>
      </c>
      <c r="C76" t="s">
        <v>128</v>
      </c>
      <c r="D76" t="s">
        <v>709</v>
      </c>
      <c r="E76">
        <v>1</v>
      </c>
      <c r="F76" t="s">
        <v>659</v>
      </c>
    </row>
    <row r="77" spans="1:6">
      <c r="A77" s="1">
        <f t="shared" si="1"/>
        <v>75</v>
      </c>
      <c r="B77" s="122">
        <v>45791</v>
      </c>
      <c r="C77" t="s">
        <v>128</v>
      </c>
      <c r="D77" t="s">
        <v>710</v>
      </c>
      <c r="E77">
        <v>6</v>
      </c>
      <c r="F77" t="s">
        <v>659</v>
      </c>
    </row>
    <row r="78" spans="1:6">
      <c r="A78" s="1">
        <f t="shared" si="1"/>
        <v>76</v>
      </c>
      <c r="B78" s="122">
        <v>45791</v>
      </c>
      <c r="C78" t="s">
        <v>118</v>
      </c>
      <c r="D78" t="s">
        <v>711</v>
      </c>
      <c r="E78">
        <v>1</v>
      </c>
      <c r="F78" t="s">
        <v>659</v>
      </c>
    </row>
    <row r="79" spans="1:6">
      <c r="A79" s="1">
        <f t="shared" si="1"/>
        <v>77</v>
      </c>
      <c r="B79" s="122">
        <v>45792</v>
      </c>
      <c r="C79" t="s">
        <v>146</v>
      </c>
      <c r="D79" t="s">
        <v>712</v>
      </c>
      <c r="E79">
        <v>1</v>
      </c>
      <c r="F79" t="s">
        <v>659</v>
      </c>
    </row>
    <row r="80" spans="1:6">
      <c r="A80" s="1">
        <f t="shared" si="1"/>
        <v>78</v>
      </c>
      <c r="B80" s="122">
        <v>45792</v>
      </c>
      <c r="C80" t="s">
        <v>146</v>
      </c>
      <c r="D80" t="s">
        <v>713</v>
      </c>
      <c r="E80">
        <v>1</v>
      </c>
      <c r="F80" t="s">
        <v>659</v>
      </c>
    </row>
    <row r="81" spans="1:6">
      <c r="A81" s="1">
        <f t="shared" si="1"/>
        <v>79</v>
      </c>
      <c r="B81" s="122">
        <v>45792</v>
      </c>
      <c r="C81" t="s">
        <v>153</v>
      </c>
      <c r="D81" t="s">
        <v>714</v>
      </c>
      <c r="E81">
        <v>1</v>
      </c>
      <c r="F81" t="s">
        <v>658</v>
      </c>
    </row>
    <row r="82" spans="1:6">
      <c r="A82" s="1">
        <f t="shared" si="1"/>
        <v>80</v>
      </c>
      <c r="B82" s="122">
        <v>45793</v>
      </c>
      <c r="C82" t="s">
        <v>118</v>
      </c>
      <c r="D82" t="s">
        <v>715</v>
      </c>
      <c r="E82">
        <v>1</v>
      </c>
      <c r="F82" t="s">
        <v>659</v>
      </c>
    </row>
    <row r="83" spans="1:6">
      <c r="A83" s="1">
        <f t="shared" si="1"/>
        <v>81</v>
      </c>
      <c r="B83" s="122">
        <v>45794</v>
      </c>
      <c r="C83" t="s">
        <v>133</v>
      </c>
      <c r="D83" t="s">
        <v>696</v>
      </c>
      <c r="E83">
        <v>1</v>
      </c>
      <c r="F83" t="s">
        <v>659</v>
      </c>
    </row>
    <row r="84" spans="1:6">
      <c r="A84" s="1">
        <f t="shared" si="1"/>
        <v>82</v>
      </c>
      <c r="B84" s="122">
        <v>45794</v>
      </c>
      <c r="C84" t="s">
        <v>120</v>
      </c>
      <c r="D84" t="s">
        <v>716</v>
      </c>
      <c r="E84">
        <v>1</v>
      </c>
      <c r="F84" t="s">
        <v>659</v>
      </c>
    </row>
    <row r="85" spans="1:6">
      <c r="A85" s="1">
        <f t="shared" si="1"/>
        <v>83</v>
      </c>
      <c r="B85" s="122">
        <v>45797</v>
      </c>
      <c r="C85" t="s">
        <v>124</v>
      </c>
      <c r="D85" t="s">
        <v>1003</v>
      </c>
      <c r="E85">
        <v>4</v>
      </c>
      <c r="F85" t="s">
        <v>659</v>
      </c>
    </row>
    <row r="86" spans="1:6">
      <c r="A86" s="1">
        <f t="shared" si="1"/>
        <v>84</v>
      </c>
      <c r="B86" s="122">
        <v>45798</v>
      </c>
      <c r="C86" t="s">
        <v>146</v>
      </c>
      <c r="D86" t="s">
        <v>1012</v>
      </c>
      <c r="E86">
        <v>10</v>
      </c>
      <c r="F86" t="s">
        <v>657</v>
      </c>
    </row>
    <row r="87" spans="1:6">
      <c r="A87" s="1">
        <f t="shared" si="1"/>
        <v>85</v>
      </c>
      <c r="B87" s="122">
        <v>45799</v>
      </c>
      <c r="C87" t="s">
        <v>151</v>
      </c>
      <c r="D87" t="s">
        <v>1165</v>
      </c>
      <c r="E87">
        <v>26</v>
      </c>
      <c r="F87" t="s">
        <v>659</v>
      </c>
    </row>
    <row r="88" spans="1:6">
      <c r="A88" s="1">
        <f t="shared" si="1"/>
        <v>86</v>
      </c>
      <c r="B88" s="122">
        <v>45799</v>
      </c>
      <c r="C88" t="s">
        <v>151</v>
      </c>
      <c r="D88" t="s">
        <v>1166</v>
      </c>
      <c r="E88">
        <v>4</v>
      </c>
      <c r="F88" t="s">
        <v>659</v>
      </c>
    </row>
    <row r="89" spans="1:6">
      <c r="A89" s="1">
        <f t="shared" si="1"/>
        <v>87</v>
      </c>
      <c r="B89" s="122">
        <v>45801</v>
      </c>
      <c r="C89" t="s">
        <v>139</v>
      </c>
      <c r="D89" t="s">
        <v>1178</v>
      </c>
      <c r="E89">
        <v>1</v>
      </c>
      <c r="F89" t="s">
        <v>659</v>
      </c>
    </row>
    <row r="90" spans="1:6">
      <c r="A90" s="1">
        <f t="shared" si="1"/>
        <v>88</v>
      </c>
      <c r="B90" s="122">
        <v>45803</v>
      </c>
      <c r="C90" t="s">
        <v>138</v>
      </c>
      <c r="D90" t="s">
        <v>697</v>
      </c>
      <c r="E90">
        <v>1</v>
      </c>
      <c r="F90" t="s">
        <v>659</v>
      </c>
    </row>
    <row r="91" spans="1:6">
      <c r="A91" s="1">
        <f t="shared" si="1"/>
        <v>89</v>
      </c>
      <c r="B91" s="122">
        <v>45803</v>
      </c>
      <c r="C91" t="s">
        <v>143</v>
      </c>
      <c r="D91" t="s">
        <v>683</v>
      </c>
      <c r="E91">
        <v>1</v>
      </c>
      <c r="F91" t="s">
        <v>659</v>
      </c>
    </row>
    <row r="92" spans="1:6">
      <c r="A92" s="1">
        <f t="shared" si="1"/>
        <v>90</v>
      </c>
      <c r="B92" s="122">
        <v>45805</v>
      </c>
      <c r="C92" t="s">
        <v>146</v>
      </c>
      <c r="D92" t="s">
        <v>1185</v>
      </c>
      <c r="E92">
        <v>1</v>
      </c>
      <c r="F92" t="s">
        <v>659</v>
      </c>
    </row>
    <row r="93" spans="1:6">
      <c r="A93" s="1">
        <f t="shared" si="1"/>
        <v>91</v>
      </c>
      <c r="B93" s="122">
        <v>45806</v>
      </c>
      <c r="C93" t="s">
        <v>146</v>
      </c>
      <c r="D93" t="s">
        <v>1188</v>
      </c>
      <c r="E93">
        <v>2</v>
      </c>
      <c r="F93" t="s">
        <v>659</v>
      </c>
    </row>
    <row r="94" spans="1:6">
      <c r="A94" s="1">
        <f t="shared" si="1"/>
        <v>92</v>
      </c>
      <c r="B94" s="122">
        <v>45807</v>
      </c>
      <c r="C94" t="s">
        <v>141</v>
      </c>
      <c r="D94" t="s">
        <v>667</v>
      </c>
      <c r="E94">
        <v>1</v>
      </c>
      <c r="F94" t="s">
        <v>659</v>
      </c>
    </row>
    <row r="95" spans="1:6">
      <c r="A95" s="1">
        <f t="shared" si="1"/>
        <v>93</v>
      </c>
      <c r="B95" s="122">
        <v>45807</v>
      </c>
      <c r="C95" t="s">
        <v>138</v>
      </c>
      <c r="D95" t="s">
        <v>1194</v>
      </c>
      <c r="E95">
        <v>1</v>
      </c>
      <c r="F95" t="s">
        <v>658</v>
      </c>
    </row>
    <row r="96" spans="1:6">
      <c r="A96" s="1">
        <f t="shared" si="1"/>
        <v>94</v>
      </c>
      <c r="B96" s="122">
        <v>45807</v>
      </c>
      <c r="C96" t="s">
        <v>130</v>
      </c>
      <c r="D96" t="s">
        <v>1195</v>
      </c>
      <c r="E96">
        <v>1</v>
      </c>
      <c r="F96" t="s">
        <v>659</v>
      </c>
    </row>
    <row r="97" spans="1:6">
      <c r="A97" s="1">
        <f t="shared" si="1"/>
        <v>95</v>
      </c>
      <c r="B97" s="122">
        <v>45807</v>
      </c>
      <c r="C97" t="s">
        <v>118</v>
      </c>
      <c r="D97" t="s">
        <v>701</v>
      </c>
      <c r="E97">
        <v>1</v>
      </c>
      <c r="F97" t="s">
        <v>659</v>
      </c>
    </row>
    <row r="98" spans="1:6">
      <c r="A98" s="1">
        <f t="shared" si="1"/>
        <v>96</v>
      </c>
      <c r="B98" s="122">
        <v>45808</v>
      </c>
      <c r="C98" t="s">
        <v>138</v>
      </c>
      <c r="D98" t="s">
        <v>1201</v>
      </c>
      <c r="E98">
        <v>1</v>
      </c>
      <c r="F98" t="s">
        <v>659</v>
      </c>
    </row>
    <row r="99" spans="1:6">
      <c r="A99" s="1">
        <f t="shared" si="1"/>
        <v>97</v>
      </c>
      <c r="B99" s="122">
        <v>45810</v>
      </c>
      <c r="C99" t="s">
        <v>118</v>
      </c>
      <c r="D99" t="s">
        <v>1204</v>
      </c>
      <c r="E99">
        <v>1</v>
      </c>
      <c r="F99" t="s">
        <v>659</v>
      </c>
    </row>
    <row r="100" spans="1:6">
      <c r="A100" s="1">
        <f t="shared" si="1"/>
        <v>98</v>
      </c>
      <c r="B100" s="122">
        <v>45810</v>
      </c>
      <c r="C100" t="s">
        <v>134</v>
      </c>
      <c r="D100" t="s">
        <v>1205</v>
      </c>
      <c r="E100">
        <v>1</v>
      </c>
      <c r="F100" t="s">
        <v>659</v>
      </c>
    </row>
    <row r="101" spans="1:6">
      <c r="A101" s="1">
        <f t="shared" ref="A101:A152" si="2">A100+1</f>
        <v>99</v>
      </c>
      <c r="B101" s="122">
        <v>45810</v>
      </c>
      <c r="C101" t="s">
        <v>146</v>
      </c>
      <c r="D101" t="s">
        <v>1206</v>
      </c>
      <c r="E101">
        <v>8</v>
      </c>
      <c r="F101" t="s">
        <v>659</v>
      </c>
    </row>
    <row r="102" spans="1:6">
      <c r="A102" s="1">
        <f t="shared" si="2"/>
        <v>100</v>
      </c>
      <c r="B102" s="122">
        <v>45810</v>
      </c>
      <c r="C102" t="s">
        <v>148</v>
      </c>
      <c r="D102" t="s">
        <v>1207</v>
      </c>
      <c r="E102">
        <v>10</v>
      </c>
      <c r="F102" t="s">
        <v>659</v>
      </c>
    </row>
    <row r="103" spans="1:6">
      <c r="A103" s="1">
        <f t="shared" si="2"/>
        <v>101</v>
      </c>
      <c r="B103" s="122">
        <v>45811</v>
      </c>
      <c r="C103" t="s">
        <v>134</v>
      </c>
      <c r="D103" t="s">
        <v>697</v>
      </c>
      <c r="E103">
        <v>1</v>
      </c>
      <c r="F103" t="s">
        <v>659</v>
      </c>
    </row>
    <row r="104" spans="1:6">
      <c r="A104" s="1">
        <f t="shared" si="2"/>
        <v>102</v>
      </c>
      <c r="B104" s="122">
        <v>45813</v>
      </c>
      <c r="C104" t="s">
        <v>149</v>
      </c>
      <c r="D104" t="s">
        <v>1218</v>
      </c>
      <c r="E104">
        <v>18</v>
      </c>
      <c r="F104" t="s">
        <v>659</v>
      </c>
    </row>
    <row r="105" spans="1:6">
      <c r="A105" s="1">
        <f t="shared" si="2"/>
        <v>103</v>
      </c>
      <c r="B105" s="122">
        <v>45813</v>
      </c>
      <c r="C105" t="s">
        <v>149</v>
      </c>
      <c r="D105" t="s">
        <v>1166</v>
      </c>
      <c r="E105">
        <v>4</v>
      </c>
      <c r="F105" t="s">
        <v>659</v>
      </c>
    </row>
    <row r="106" spans="1:6">
      <c r="A106" s="1">
        <f t="shared" si="2"/>
        <v>104</v>
      </c>
      <c r="B106" s="122">
        <v>45814</v>
      </c>
      <c r="C106" t="s">
        <v>128</v>
      </c>
      <c r="D106" t="s">
        <v>1220</v>
      </c>
      <c r="E106">
        <v>1</v>
      </c>
      <c r="F106" t="s">
        <v>659</v>
      </c>
    </row>
    <row r="107" spans="1:6">
      <c r="A107" s="1">
        <f t="shared" si="2"/>
        <v>105</v>
      </c>
      <c r="B107" s="122">
        <v>45814</v>
      </c>
      <c r="C107" t="s">
        <v>150</v>
      </c>
      <c r="D107" t="s">
        <v>688</v>
      </c>
      <c r="E107">
        <v>1</v>
      </c>
      <c r="F107" t="s">
        <v>659</v>
      </c>
    </row>
    <row r="108" spans="1:6">
      <c r="A108" s="1">
        <f t="shared" si="2"/>
        <v>106</v>
      </c>
      <c r="B108" s="122">
        <v>45818</v>
      </c>
      <c r="C108" t="s">
        <v>137</v>
      </c>
      <c r="D108" t="s">
        <v>1003</v>
      </c>
      <c r="E108">
        <v>1</v>
      </c>
      <c r="F108" t="s">
        <v>659</v>
      </c>
    </row>
    <row r="109" spans="1:6">
      <c r="A109" s="1">
        <f t="shared" si="2"/>
        <v>107</v>
      </c>
      <c r="B109" s="122">
        <v>45818</v>
      </c>
      <c r="C109" t="s">
        <v>137</v>
      </c>
      <c r="D109" t="s">
        <v>1218</v>
      </c>
      <c r="E109">
        <v>2</v>
      </c>
      <c r="F109" t="s">
        <v>659</v>
      </c>
    </row>
    <row r="110" spans="1:6">
      <c r="A110" s="1">
        <f t="shared" si="2"/>
        <v>108</v>
      </c>
      <c r="B110" s="122">
        <v>45818</v>
      </c>
      <c r="C110" t="s">
        <v>137</v>
      </c>
      <c r="D110" t="s">
        <v>1166</v>
      </c>
      <c r="E110">
        <v>1</v>
      </c>
      <c r="F110" t="s">
        <v>659</v>
      </c>
    </row>
    <row r="111" spans="1:6">
      <c r="A111" s="1">
        <f t="shared" si="2"/>
        <v>109</v>
      </c>
      <c r="B111" s="122">
        <v>45818</v>
      </c>
      <c r="C111" t="s">
        <v>129</v>
      </c>
      <c r="D111" t="s">
        <v>1234</v>
      </c>
      <c r="E111">
        <v>1</v>
      </c>
      <c r="F111" t="s">
        <v>659</v>
      </c>
    </row>
    <row r="112" spans="1:6">
      <c r="A112" s="1">
        <f t="shared" si="2"/>
        <v>110</v>
      </c>
      <c r="B112" s="122">
        <v>45818</v>
      </c>
      <c r="C112" t="s">
        <v>130</v>
      </c>
      <c r="D112" t="s">
        <v>1234</v>
      </c>
      <c r="E112">
        <v>1</v>
      </c>
      <c r="F112" t="s">
        <v>659</v>
      </c>
    </row>
    <row r="113" spans="1:6">
      <c r="A113" s="1">
        <f t="shared" si="2"/>
        <v>111</v>
      </c>
      <c r="B113" s="122">
        <v>45818</v>
      </c>
      <c r="C113" t="s">
        <v>128</v>
      </c>
      <c r="D113" t="s">
        <v>1235</v>
      </c>
      <c r="E113">
        <v>2</v>
      </c>
      <c r="F113" t="s">
        <v>659</v>
      </c>
    </row>
    <row r="114" spans="1:6">
      <c r="A114" s="1">
        <f t="shared" si="2"/>
        <v>112</v>
      </c>
      <c r="B114" s="122">
        <v>45818</v>
      </c>
      <c r="C114" t="s">
        <v>128</v>
      </c>
      <c r="D114" t="s">
        <v>1236</v>
      </c>
      <c r="E114">
        <v>2</v>
      </c>
      <c r="F114" t="s">
        <v>659</v>
      </c>
    </row>
    <row r="115" spans="1:6">
      <c r="A115" s="1">
        <f t="shared" si="2"/>
        <v>113</v>
      </c>
      <c r="B115" s="122"/>
    </row>
    <row r="116" spans="1:6">
      <c r="A116" s="1">
        <f>A115+1</f>
        <v>114</v>
      </c>
      <c r="B116" s="122">
        <v>45826</v>
      </c>
      <c r="C116" t="s">
        <v>121</v>
      </c>
      <c r="D116" t="s">
        <v>1261</v>
      </c>
      <c r="E116">
        <v>1</v>
      </c>
      <c r="F116" t="s">
        <v>659</v>
      </c>
    </row>
    <row r="117" spans="1:6">
      <c r="A117" s="1">
        <f t="shared" si="2"/>
        <v>115</v>
      </c>
      <c r="B117" s="122">
        <v>45826</v>
      </c>
      <c r="C117" t="s">
        <v>121</v>
      </c>
      <c r="D117" t="s">
        <v>1262</v>
      </c>
      <c r="E117">
        <v>1</v>
      </c>
      <c r="F117" t="s">
        <v>659</v>
      </c>
    </row>
    <row r="118" spans="1:6">
      <c r="A118" s="1">
        <f t="shared" si="2"/>
        <v>116</v>
      </c>
      <c r="B118" s="122">
        <v>45827</v>
      </c>
      <c r="C118" t="s">
        <v>117</v>
      </c>
      <c r="D118" t="s">
        <v>1267</v>
      </c>
      <c r="E118">
        <v>1</v>
      </c>
      <c r="F118" t="s">
        <v>659</v>
      </c>
    </row>
    <row r="119" spans="1:6">
      <c r="A119" s="1">
        <f t="shared" si="2"/>
        <v>117</v>
      </c>
      <c r="B119" s="122">
        <v>45827</v>
      </c>
      <c r="C119" t="s">
        <v>141</v>
      </c>
      <c r="D119" t="s">
        <v>1290</v>
      </c>
      <c r="E119">
        <v>1</v>
      </c>
      <c r="F119" t="s">
        <v>659</v>
      </c>
    </row>
    <row r="120" spans="1:6">
      <c r="A120" s="1">
        <f t="shared" si="2"/>
        <v>118</v>
      </c>
      <c r="B120" s="122">
        <v>45828</v>
      </c>
      <c r="C120" t="s">
        <v>125</v>
      </c>
      <c r="D120" t="s">
        <v>1291</v>
      </c>
      <c r="E120">
        <v>1</v>
      </c>
      <c r="F120" t="s">
        <v>659</v>
      </c>
    </row>
    <row r="121" spans="1:6">
      <c r="A121" s="1">
        <f t="shared" si="2"/>
        <v>119</v>
      </c>
      <c r="B121" s="122">
        <v>45828</v>
      </c>
      <c r="C121" t="s">
        <v>135</v>
      </c>
      <c r="D121" t="s">
        <v>1292</v>
      </c>
      <c r="E121">
        <v>1</v>
      </c>
      <c r="F121" t="s">
        <v>659</v>
      </c>
    </row>
    <row r="122" spans="1:6">
      <c r="A122" s="1">
        <f t="shared" si="2"/>
        <v>120</v>
      </c>
      <c r="B122" s="122">
        <v>45829</v>
      </c>
      <c r="C122" t="s">
        <v>146</v>
      </c>
      <c r="D122" t="s">
        <v>1267</v>
      </c>
      <c r="E122">
        <v>1</v>
      </c>
      <c r="F122" t="s">
        <v>659</v>
      </c>
    </row>
    <row r="123" spans="1:6">
      <c r="A123" s="1">
        <f t="shared" si="2"/>
        <v>121</v>
      </c>
      <c r="B123" s="122">
        <v>45829</v>
      </c>
      <c r="C123" t="s">
        <v>126</v>
      </c>
      <c r="D123" t="s">
        <v>1293</v>
      </c>
      <c r="E123">
        <v>1</v>
      </c>
      <c r="F123" t="s">
        <v>659</v>
      </c>
    </row>
    <row r="124" spans="1:6">
      <c r="A124" s="1">
        <f t="shared" si="2"/>
        <v>122</v>
      </c>
      <c r="B124" s="122">
        <v>45829</v>
      </c>
      <c r="C124" t="s">
        <v>126</v>
      </c>
      <c r="D124" t="s">
        <v>1294</v>
      </c>
      <c r="E124">
        <v>2</v>
      </c>
      <c r="F124" t="s">
        <v>659</v>
      </c>
    </row>
    <row r="125" spans="1:6">
      <c r="A125" s="1">
        <f t="shared" si="2"/>
        <v>123</v>
      </c>
      <c r="B125" s="122">
        <v>45829</v>
      </c>
      <c r="C125" t="s">
        <v>126</v>
      </c>
      <c r="D125" t="s">
        <v>1295</v>
      </c>
      <c r="E125">
        <v>1</v>
      </c>
      <c r="F125" t="s">
        <v>659</v>
      </c>
    </row>
    <row r="126" spans="1:6">
      <c r="A126" s="1">
        <f t="shared" si="2"/>
        <v>124</v>
      </c>
      <c r="B126" s="122">
        <v>45829</v>
      </c>
      <c r="C126" t="s">
        <v>124</v>
      </c>
      <c r="D126" t="s">
        <v>1296</v>
      </c>
      <c r="E126">
        <v>6</v>
      </c>
      <c r="F126" t="s">
        <v>659</v>
      </c>
    </row>
    <row r="127" spans="1:6">
      <c r="A127" s="1">
        <f t="shared" si="2"/>
        <v>125</v>
      </c>
      <c r="B127" s="122">
        <v>45830</v>
      </c>
      <c r="C127" t="s">
        <v>126</v>
      </c>
      <c r="D127" t="s">
        <v>1178</v>
      </c>
      <c r="E127">
        <v>1</v>
      </c>
      <c r="F127" t="s">
        <v>659</v>
      </c>
    </row>
    <row r="128" spans="1:6">
      <c r="A128" s="1">
        <f t="shared" si="2"/>
        <v>126</v>
      </c>
      <c r="B128" s="122">
        <v>45831</v>
      </c>
      <c r="C128" t="s">
        <v>134</v>
      </c>
      <c r="D128" t="s">
        <v>674</v>
      </c>
      <c r="E128">
        <v>1</v>
      </c>
      <c r="F128" t="s">
        <v>659</v>
      </c>
    </row>
    <row r="129" spans="1:6">
      <c r="A129" s="1">
        <f t="shared" si="2"/>
        <v>127</v>
      </c>
      <c r="B129" s="122">
        <v>45833</v>
      </c>
      <c r="C129" t="s">
        <v>130</v>
      </c>
      <c r="D129" t="s">
        <v>686</v>
      </c>
      <c r="E129">
        <v>2</v>
      </c>
      <c r="F129" t="s">
        <v>659</v>
      </c>
    </row>
    <row r="130" spans="1:6">
      <c r="A130" s="1">
        <f t="shared" si="2"/>
        <v>128</v>
      </c>
      <c r="B130" s="122">
        <v>45834</v>
      </c>
      <c r="C130" t="s">
        <v>127</v>
      </c>
      <c r="D130" t="s">
        <v>686</v>
      </c>
      <c r="E130">
        <v>4</v>
      </c>
      <c r="F130" t="s">
        <v>659</v>
      </c>
    </row>
    <row r="131" spans="1:6">
      <c r="A131" s="1">
        <f t="shared" si="2"/>
        <v>129</v>
      </c>
      <c r="B131" s="122">
        <v>45834</v>
      </c>
      <c r="C131" t="s">
        <v>150</v>
      </c>
      <c r="D131" t="s">
        <v>1305</v>
      </c>
      <c r="E131">
        <v>1</v>
      </c>
      <c r="F131" t="s">
        <v>659</v>
      </c>
    </row>
    <row r="132" spans="1:6">
      <c r="A132" s="1">
        <f t="shared" si="2"/>
        <v>130</v>
      </c>
      <c r="B132" s="122">
        <v>45834</v>
      </c>
      <c r="C132" t="s">
        <v>150</v>
      </c>
      <c r="D132" t="s">
        <v>1306</v>
      </c>
      <c r="E132">
        <v>90</v>
      </c>
      <c r="F132" t="s">
        <v>657</v>
      </c>
    </row>
    <row r="133" spans="1:6">
      <c r="A133" s="1">
        <f t="shared" si="2"/>
        <v>131</v>
      </c>
      <c r="B133" s="122">
        <v>45834</v>
      </c>
      <c r="C133" t="s">
        <v>117</v>
      </c>
      <c r="D133" t="s">
        <v>1307</v>
      </c>
      <c r="E133">
        <v>3</v>
      </c>
      <c r="F133" t="s">
        <v>659</v>
      </c>
    </row>
    <row r="134" spans="1:6">
      <c r="A134" s="1">
        <f t="shared" si="2"/>
        <v>132</v>
      </c>
      <c r="B134" s="122">
        <v>45834</v>
      </c>
      <c r="C134" t="s">
        <v>117</v>
      </c>
      <c r="D134" t="s">
        <v>1294</v>
      </c>
      <c r="E134">
        <v>2</v>
      </c>
      <c r="F134" t="s">
        <v>659</v>
      </c>
    </row>
    <row r="135" spans="1:6">
      <c r="A135" s="1">
        <f t="shared" si="2"/>
        <v>133</v>
      </c>
      <c r="B135" s="122">
        <v>45834</v>
      </c>
      <c r="C135" t="s">
        <v>116</v>
      </c>
      <c r="D135" t="s">
        <v>1294</v>
      </c>
      <c r="E135">
        <v>2</v>
      </c>
      <c r="F135" t="s">
        <v>659</v>
      </c>
    </row>
    <row r="136" spans="1:6">
      <c r="A136" s="1">
        <f t="shared" si="2"/>
        <v>134</v>
      </c>
      <c r="B136" s="122">
        <v>45834</v>
      </c>
      <c r="C136" t="s">
        <v>116</v>
      </c>
      <c r="D136" t="s">
        <v>1313</v>
      </c>
      <c r="E136">
        <v>1</v>
      </c>
      <c r="F136" t="s">
        <v>659</v>
      </c>
    </row>
    <row r="137" spans="1:6">
      <c r="A137" s="1">
        <f t="shared" si="2"/>
        <v>135</v>
      </c>
      <c r="B137" s="122">
        <v>45835</v>
      </c>
      <c r="C137" t="s">
        <v>115</v>
      </c>
      <c r="D137" t="s">
        <v>1313</v>
      </c>
      <c r="E137">
        <v>2</v>
      </c>
      <c r="F137" t="s">
        <v>659</v>
      </c>
    </row>
    <row r="138" spans="1:6">
      <c r="A138" s="1">
        <f t="shared" si="2"/>
        <v>136</v>
      </c>
      <c r="B138" s="122">
        <v>45835</v>
      </c>
      <c r="C138" t="s">
        <v>115</v>
      </c>
      <c r="D138" t="s">
        <v>1305</v>
      </c>
      <c r="E138">
        <v>1</v>
      </c>
      <c r="F138" t="s">
        <v>659</v>
      </c>
    </row>
    <row r="139" spans="1:6">
      <c r="A139" s="1">
        <f t="shared" si="2"/>
        <v>137</v>
      </c>
      <c r="B139" s="122">
        <v>45835</v>
      </c>
      <c r="C139" t="s">
        <v>141</v>
      </c>
      <c r="D139" t="s">
        <v>1314</v>
      </c>
      <c r="E139">
        <v>1</v>
      </c>
      <c r="F139" t="s">
        <v>659</v>
      </c>
    </row>
    <row r="140" spans="1:6">
      <c r="A140" s="1">
        <f t="shared" si="2"/>
        <v>138</v>
      </c>
      <c r="B140" s="122">
        <v>45835</v>
      </c>
      <c r="C140" t="s">
        <v>141</v>
      </c>
      <c r="D140" t="s">
        <v>1315</v>
      </c>
      <c r="E140">
        <v>1</v>
      </c>
      <c r="F140" t="s">
        <v>659</v>
      </c>
    </row>
    <row r="141" spans="1:6">
      <c r="A141" s="1">
        <f t="shared" si="2"/>
        <v>139</v>
      </c>
      <c r="B141" s="122">
        <v>45835</v>
      </c>
      <c r="C141" t="s">
        <v>141</v>
      </c>
      <c r="D141" t="s">
        <v>1316</v>
      </c>
      <c r="E141">
        <v>1</v>
      </c>
      <c r="F141" t="s">
        <v>659</v>
      </c>
    </row>
    <row r="142" spans="1:6">
      <c r="A142" s="1">
        <f t="shared" si="2"/>
        <v>140</v>
      </c>
      <c r="B142" s="122">
        <v>45836</v>
      </c>
      <c r="C142" t="s">
        <v>117</v>
      </c>
      <c r="D142" t="s">
        <v>1320</v>
      </c>
      <c r="E142">
        <v>1</v>
      </c>
      <c r="F142" t="s">
        <v>659</v>
      </c>
    </row>
    <row r="143" spans="1:6">
      <c r="A143" s="1">
        <f t="shared" si="2"/>
        <v>141</v>
      </c>
      <c r="B143" s="122">
        <v>45836</v>
      </c>
      <c r="C143" t="s">
        <v>116</v>
      </c>
      <c r="D143" t="s">
        <v>1321</v>
      </c>
      <c r="E143">
        <v>1</v>
      </c>
      <c r="F143" t="s">
        <v>659</v>
      </c>
    </row>
    <row r="144" spans="1:6">
      <c r="A144" s="1">
        <f t="shared" si="2"/>
        <v>142</v>
      </c>
      <c r="B144" s="122">
        <v>45839</v>
      </c>
      <c r="C144" t="s">
        <v>145</v>
      </c>
      <c r="D144" t="s">
        <v>1327</v>
      </c>
      <c r="E144">
        <v>1</v>
      </c>
      <c r="F144" t="s">
        <v>659</v>
      </c>
    </row>
    <row r="145" spans="1:6">
      <c r="A145" s="1">
        <f t="shared" si="2"/>
        <v>143</v>
      </c>
      <c r="B145" s="122">
        <v>45839</v>
      </c>
      <c r="C145" t="s">
        <v>136</v>
      </c>
      <c r="D145" t="s">
        <v>1327</v>
      </c>
      <c r="E145">
        <v>2</v>
      </c>
      <c r="F145" t="s">
        <v>659</v>
      </c>
    </row>
    <row r="146" spans="1:6">
      <c r="A146" s="1">
        <f t="shared" si="2"/>
        <v>144</v>
      </c>
      <c r="B146" s="122">
        <v>45840</v>
      </c>
      <c r="C146" t="s">
        <v>149</v>
      </c>
      <c r="D146" t="s">
        <v>1327</v>
      </c>
      <c r="E146">
        <v>2</v>
      </c>
      <c r="F146" t="s">
        <v>659</v>
      </c>
    </row>
    <row r="147" spans="1:6">
      <c r="A147" s="1">
        <f t="shared" si="2"/>
        <v>145</v>
      </c>
      <c r="B147" s="122">
        <v>45842</v>
      </c>
      <c r="C147" t="s">
        <v>118</v>
      </c>
      <c r="D147" t="s">
        <v>1330</v>
      </c>
      <c r="E147">
        <v>1</v>
      </c>
      <c r="F147" t="s">
        <v>659</v>
      </c>
    </row>
    <row r="148" spans="1:6">
      <c r="A148" s="1">
        <f t="shared" si="2"/>
        <v>146</v>
      </c>
      <c r="B148" s="122">
        <v>45842</v>
      </c>
      <c r="C148" t="s">
        <v>123</v>
      </c>
      <c r="D148" t="s">
        <v>693</v>
      </c>
      <c r="E148">
        <v>1</v>
      </c>
      <c r="F148" t="s">
        <v>659</v>
      </c>
    </row>
    <row r="149" spans="1:6">
      <c r="A149" s="1">
        <f t="shared" si="2"/>
        <v>147</v>
      </c>
      <c r="B149" s="122">
        <v>45844</v>
      </c>
      <c r="C149" t="s">
        <v>130</v>
      </c>
      <c r="D149" t="s">
        <v>1296</v>
      </c>
      <c r="E149">
        <v>4</v>
      </c>
      <c r="F149" t="s">
        <v>659</v>
      </c>
    </row>
    <row r="150" spans="1:6">
      <c r="A150" s="1">
        <f t="shared" si="2"/>
        <v>148</v>
      </c>
      <c r="B150" s="122">
        <v>45844</v>
      </c>
      <c r="C150" t="s">
        <v>130</v>
      </c>
      <c r="D150" t="s">
        <v>1335</v>
      </c>
      <c r="E150">
        <v>240</v>
      </c>
      <c r="F150" t="s">
        <v>1336</v>
      </c>
    </row>
    <row r="151" spans="1:6">
      <c r="A151" s="1">
        <f t="shared" si="2"/>
        <v>149</v>
      </c>
      <c r="B151" s="122">
        <v>45846</v>
      </c>
      <c r="C151" t="s">
        <v>115</v>
      </c>
      <c r="D151" t="s">
        <v>1342</v>
      </c>
      <c r="E151">
        <v>1</v>
      </c>
      <c r="F151" t="s">
        <v>659</v>
      </c>
    </row>
    <row r="152" spans="1:6">
      <c r="A152" s="1">
        <f t="shared" si="2"/>
        <v>150</v>
      </c>
      <c r="B152" s="122">
        <v>45846</v>
      </c>
      <c r="C152" t="s">
        <v>145</v>
      </c>
      <c r="D152" t="s">
        <v>1343</v>
      </c>
      <c r="E152">
        <v>1</v>
      </c>
      <c r="F152" t="s">
        <v>659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05C45-923F-4866-AF31-FBC254D9D7F0}">
  <ds:schemaRefs>
    <ds:schemaRef ds:uri="http://schemas.microsoft.com/sharepoint/v3/contenttype/forms"/>
  </ds:schemaRefs>
</ds:datastoreItem>
</file>

<file path=customXml/itemProps2.xml><?xml version="1.0" encoding="utf-8"?>
<ds:datastoreItem xmlns:ds="http://schemas.openxmlformats.org/officeDocument/2006/customXml" ds:itemID="{E6E189CC-30F2-45D0-9889-4F0D3E12DE92}">
  <ds:schemaRefs>
    <ds:schemaRef ds:uri="http://purl.org/dc/elements/1.1/"/>
    <ds:schemaRef ds:uri="http://schemas.microsoft.com/office/2006/documentManagement/types"/>
    <ds:schemaRef ds:uri="http://schemas.microsoft.com/office/infopath/2007/PartnerControls"/>
    <ds:schemaRef ds:uri="http://schemas.microsoft.com/office/2006/metadata/properties"/>
    <ds:schemaRef ds:uri="fc7a6a76-1c0e-42c8-b8bb-e7dae130d739"/>
    <ds:schemaRef ds:uri="d16c97b0-8c68-4a48-9e8f-dd7460dbc509"/>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8FF9A66E-147B-4023-A1F8-9A2634870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a6a76-1c0e-42c8-b8bb-e7dae130d739"/>
    <ds:schemaRef ds:uri="d16c97b0-8c68-4a48-9e8f-dd7460dbc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O2Summary</vt:lpstr>
      <vt:lpstr>AnnualKPI</vt:lpstr>
      <vt:lpstr>MonthlyKPI</vt:lpstr>
      <vt:lpstr>Analytices</vt:lpstr>
      <vt:lpstr>Daily KPI</vt:lpstr>
      <vt:lpstr>Input_Raw</vt:lpstr>
      <vt:lpstr>Modelling New</vt:lpstr>
      <vt:lpstr>WTG_BD</vt:lpstr>
      <vt:lpstr>IGA_BD</vt:lpstr>
      <vt:lpstr>Grid_BD</vt:lpstr>
      <vt:lpstr>Basic Data</vt:lpstr>
      <vt:lpstr>WTG Reactive Power</vt:lpstr>
      <vt:lpstr>PM record</vt:lpstr>
      <vt:lpstr>Spar Parts Consumption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2025-07-11T03:27:54Z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